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sch\OneDrive\Desktop\"/>
    </mc:Choice>
  </mc:AlternateContent>
  <xr:revisionPtr revIDLastSave="0" documentId="13_ncr:1_{F9E86E3B-FBE2-4941-ACA6-F75368CAED8B}" xr6:coauthVersionLast="47" xr6:coauthVersionMax="47" xr10:uidLastSave="{00000000-0000-0000-0000-000000000000}"/>
  <bookViews>
    <workbookView xWindow="29250" yWindow="255" windowWidth="26730" windowHeight="15060" tabRatio="729" xr2:uid="{00000000-000D-0000-FFFF-FFFF00000000}"/>
  </bookViews>
  <sheets>
    <sheet name="FIG6 Tumor Volume" sheetId="5" r:id="rId1"/>
    <sheet name="FIG6 Body Weight" sheetId="15" r:id="rId2"/>
    <sheet name="FIG6 Radioactivity" sheetId="16" r:id="rId3"/>
    <sheet name="FIG6 Survival" sheetId="18" r:id="rId4"/>
    <sheet name="FIG6 Groups" sheetId="14" r:id="rId5"/>
    <sheet name="AsPc1 REPEAT Tumor Volume" sheetId="28" r:id="rId6"/>
    <sheet name="AsPc1 REPEAT Body Weight" sheetId="29" r:id="rId7"/>
    <sheet name="AsPc1 REPEAT Radioactivity" sheetId="30" r:id="rId8"/>
    <sheet name="AsPc1 REPEAT Survival" sheetId="31" r:id="rId9"/>
    <sheet name="AsPc1 REPEAT Groups" sheetId="32" r:id="rId10"/>
  </sheets>
  <definedNames>
    <definedName name="_xlnm._FilterDatabase" localSheetId="6" hidden="1">'AsPc1 REPEAT Body Weight'!$A$4:$CX$14</definedName>
    <definedName name="_xlnm._FilterDatabase" localSheetId="9" hidden="1">'AsPc1 REPEAT Groups'!$B$5:$K$14</definedName>
    <definedName name="_xlnm._FilterDatabase" localSheetId="7" hidden="1">'AsPc1 REPEAT Radioactivity'!$A$4:$BB$14</definedName>
    <definedName name="_xlnm._FilterDatabase" localSheetId="8" hidden="1">'AsPc1 REPEAT Survival'!$A$4:$BB$14</definedName>
    <definedName name="_xlnm._FilterDatabase" localSheetId="5" hidden="1">'AsPc1 REPEAT Tumor Volume'!$A$4:$DK$14</definedName>
    <definedName name="_xlnm._FilterDatabase" localSheetId="1" hidden="1">'FIG6 Body Weight'!$A$4:$CV$30</definedName>
    <definedName name="_xlnm._FilterDatabase" localSheetId="4" hidden="1">'FIG6 Groups'!$B$5:$K$21</definedName>
    <definedName name="_xlnm._FilterDatabase" localSheetId="2" hidden="1">'FIG6 Radioactivity'!$A$4:$BB$30</definedName>
    <definedName name="_xlnm._FilterDatabase" localSheetId="3" hidden="1">'FIG6 Survival'!$A$4:$BA$30</definedName>
    <definedName name="_xlnm._FilterDatabase" localSheetId="0" hidden="1">'FIG6 Tumor Volume'!$A$4:$DE$30</definedName>
    <definedName name="Groups">'FIG6 Groups'!$C$6:$C$21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32" l="1"/>
  <c r="H14" i="32"/>
  <c r="G14" i="32" a="1"/>
  <c r="G14" i="32" s="1"/>
  <c r="F14" i="32"/>
  <c r="E14" i="32"/>
  <c r="J13" i="32"/>
  <c r="H13" i="32"/>
  <c r="G13" i="32" a="1"/>
  <c r="G13" i="32" s="1"/>
  <c r="F13" i="32"/>
  <c r="E13" i="32"/>
  <c r="J12" i="32"/>
  <c r="H12" i="32"/>
  <c r="G12" i="32" a="1"/>
  <c r="G12" i="32" s="1"/>
  <c r="F12" i="32"/>
  <c r="E12" i="32"/>
  <c r="J11" i="32"/>
  <c r="H11" i="32"/>
  <c r="G11" i="32" a="1"/>
  <c r="G11" i="32" s="1"/>
  <c r="F11" i="32"/>
  <c r="E11" i="32"/>
  <c r="J10" i="32"/>
  <c r="H10" i="32"/>
  <c r="G10" i="32" a="1"/>
  <c r="G10" i="32" s="1"/>
  <c r="F10" i="32"/>
  <c r="E10" i="32"/>
  <c r="J9" i="32"/>
  <c r="H9" i="32"/>
  <c r="G9" i="32" a="1"/>
  <c r="G9" i="32" s="1"/>
  <c r="F9" i="32"/>
  <c r="E9" i="32"/>
  <c r="G8" i="32" a="1"/>
  <c r="G8" i="32" s="1"/>
  <c r="F8" i="32"/>
  <c r="E8" i="32"/>
  <c r="G7" i="32" a="1"/>
  <c r="G7" i="32" s="1"/>
  <c r="F7" i="32"/>
  <c r="E7" i="32"/>
  <c r="G6" i="32" a="1"/>
  <c r="G6" i="32" s="1"/>
  <c r="F6" i="32"/>
  <c r="E6" i="32"/>
  <c r="BB54" i="31"/>
  <c r="BA54" i="31"/>
  <c r="AZ54" i="31"/>
  <c r="AX54" i="31"/>
  <c r="AW54" i="31"/>
  <c r="AV54" i="31"/>
  <c r="AT54" i="31"/>
  <c r="AS54" i="31"/>
  <c r="AR54" i="31"/>
  <c r="AP54" i="31"/>
  <c r="AO54" i="31"/>
  <c r="AN54" i="31"/>
  <c r="AL54" i="31"/>
  <c r="AK54" i="31"/>
  <c r="AJ54" i="31"/>
  <c r="AH54" i="31"/>
  <c r="AG54" i="31"/>
  <c r="AF54" i="31"/>
  <c r="AD54" i="31"/>
  <c r="AC54" i="31"/>
  <c r="AB54" i="31"/>
  <c r="Z54" i="31"/>
  <c r="Y54" i="31"/>
  <c r="X54" i="31"/>
  <c r="V54" i="31"/>
  <c r="U54" i="31"/>
  <c r="T54" i="31"/>
  <c r="R54" i="31"/>
  <c r="Q54" i="31"/>
  <c r="P54" i="31"/>
  <c r="N54" i="31"/>
  <c r="M54" i="31"/>
  <c r="L54" i="31"/>
  <c r="J54" i="31"/>
  <c r="BB53" i="31"/>
  <c r="BA53" i="31"/>
  <c r="AY53" i="31"/>
  <c r="AX53" i="31"/>
  <c r="AW53" i="31"/>
  <c r="AU53" i="31"/>
  <c r="AT53" i="31"/>
  <c r="AS53" i="31"/>
  <c r="AQ53" i="31"/>
  <c r="AP53" i="31"/>
  <c r="AO53" i="31"/>
  <c r="AM53" i="31"/>
  <c r="AL53" i="31"/>
  <c r="AK53" i="31"/>
  <c r="AI53" i="31"/>
  <c r="AH53" i="31"/>
  <c r="AG53" i="31"/>
  <c r="AE53" i="31"/>
  <c r="AD53" i="31"/>
  <c r="AC53" i="31"/>
  <c r="AA53" i="31"/>
  <c r="Z53" i="31"/>
  <c r="Y53" i="31"/>
  <c r="W53" i="31"/>
  <c r="V53" i="31"/>
  <c r="U53" i="31"/>
  <c r="S53" i="31"/>
  <c r="R53" i="31"/>
  <c r="Q53" i="31"/>
  <c r="O53" i="31"/>
  <c r="N53" i="31"/>
  <c r="M53" i="31"/>
  <c r="K53" i="31"/>
  <c r="J53" i="31"/>
  <c r="J55" i="31" s="1"/>
  <c r="H53" i="31"/>
  <c r="E53" i="31"/>
  <c r="AY54" i="31" s="1"/>
  <c r="AW50" i="31"/>
  <c r="V50" i="31"/>
  <c r="AN49" i="31"/>
  <c r="AI49" i="31"/>
  <c r="J49" i="31"/>
  <c r="J51" i="31" s="1"/>
  <c r="E49" i="31"/>
  <c r="R50" i="31" s="1"/>
  <c r="AU46" i="31"/>
  <c r="AP46" i="31"/>
  <c r="AL46" i="31"/>
  <c r="AJ46" i="31"/>
  <c r="AE46" i="31"/>
  <c r="AA46" i="31"/>
  <c r="P46" i="31"/>
  <c r="O46" i="31"/>
  <c r="J46" i="31"/>
  <c r="AY45" i="31"/>
  <c r="AW45" i="31"/>
  <c r="AR45" i="31"/>
  <c r="AG45" i="31"/>
  <c r="AC45" i="31"/>
  <c r="AB45" i="31"/>
  <c r="W45" i="31"/>
  <c r="S45" i="31"/>
  <c r="Q45" i="31"/>
  <c r="E45" i="31"/>
  <c r="BA42" i="31"/>
  <c r="AY42" i="31"/>
  <c r="AU42" i="31"/>
  <c r="AS42" i="31"/>
  <c r="AQ42" i="31"/>
  <c r="AN42" i="31"/>
  <c r="AJ42" i="31"/>
  <c r="AI42" i="31"/>
  <c r="AF42" i="31"/>
  <c r="AC42" i="31"/>
  <c r="Y42" i="31"/>
  <c r="X42" i="31"/>
  <c r="U42" i="31"/>
  <c r="S42" i="31"/>
  <c r="O42" i="31"/>
  <c r="M42" i="31"/>
  <c r="K42" i="31"/>
  <c r="BA41" i="31"/>
  <c r="AW41" i="31"/>
  <c r="AV41" i="31"/>
  <c r="AS41" i="31"/>
  <c r="AP41" i="31"/>
  <c r="AL41" i="31"/>
  <c r="AK41" i="31"/>
  <c r="AH41" i="31"/>
  <c r="AF41" i="31"/>
  <c r="AB41" i="31"/>
  <c r="Z41" i="31"/>
  <c r="X41" i="31"/>
  <c r="U41" i="31"/>
  <c r="Q41" i="31"/>
  <c r="P41" i="31"/>
  <c r="M41" i="31"/>
  <c r="J41" i="31"/>
  <c r="J43" i="31" s="1"/>
  <c r="E41" i="31"/>
  <c r="BB38" i="31"/>
  <c r="AZ38" i="31"/>
  <c r="AW38" i="31"/>
  <c r="AS38" i="31"/>
  <c r="AR38" i="31"/>
  <c r="AO38" i="31"/>
  <c r="AL38" i="31"/>
  <c r="AH38" i="31"/>
  <c r="AG38" i="31"/>
  <c r="AE38" i="31"/>
  <c r="AC38" i="31"/>
  <c r="Z38" i="31"/>
  <c r="Y38" i="31"/>
  <c r="W38" i="31"/>
  <c r="U38" i="31"/>
  <c r="R38" i="31"/>
  <c r="Q38" i="31"/>
  <c r="O38" i="31"/>
  <c r="M38" i="31"/>
  <c r="J38" i="31"/>
  <c r="BB37" i="31"/>
  <c r="AZ37" i="31"/>
  <c r="AX37" i="31"/>
  <c r="AU37" i="31"/>
  <c r="AT37" i="31"/>
  <c r="AR37" i="31"/>
  <c r="AP37" i="31"/>
  <c r="AM37" i="31"/>
  <c r="AL37" i="31"/>
  <c r="AJ37" i="31"/>
  <c r="AH37" i="31"/>
  <c r="AE37" i="31"/>
  <c r="AD37" i="31"/>
  <c r="AB37" i="31"/>
  <c r="Z37" i="31"/>
  <c r="W37" i="31"/>
  <c r="V37" i="31"/>
  <c r="T37" i="31"/>
  <c r="R37" i="31"/>
  <c r="O37" i="31"/>
  <c r="N37" i="31"/>
  <c r="L37" i="31"/>
  <c r="J37" i="31"/>
  <c r="J39" i="31" s="1"/>
  <c r="E37" i="31"/>
  <c r="AY34" i="31"/>
  <c r="AT34" i="31"/>
  <c r="AA34" i="31"/>
  <c r="K34" i="31"/>
  <c r="E33" i="31"/>
  <c r="BA30" i="31"/>
  <c r="AQ30" i="31"/>
  <c r="AK30" i="31"/>
  <c r="AF30" i="31"/>
  <c r="X30" i="31"/>
  <c r="P30" i="31"/>
  <c r="O30" i="31"/>
  <c r="BA29" i="31"/>
  <c r="AV29" i="31"/>
  <c r="AN29" i="31"/>
  <c r="AK29" i="31"/>
  <c r="AF29" i="31"/>
  <c r="AB29" i="31"/>
  <c r="T29" i="31"/>
  <c r="P29" i="31"/>
  <c r="L29" i="31"/>
  <c r="E29" i="31"/>
  <c r="AV30" i="31" s="1"/>
  <c r="BB26" i="31"/>
  <c r="AZ26" i="31"/>
  <c r="AW26" i="31"/>
  <c r="AV26" i="31"/>
  <c r="AT26" i="31"/>
  <c r="AR26" i="31"/>
  <c r="AO26" i="31"/>
  <c r="AN26" i="31"/>
  <c r="AL26" i="31"/>
  <c r="AJ26" i="31"/>
  <c r="AG26" i="31"/>
  <c r="AF26" i="31"/>
  <c r="AD26" i="31"/>
  <c r="AB26" i="31"/>
  <c r="Y26" i="31"/>
  <c r="X26" i="31"/>
  <c r="V26" i="31"/>
  <c r="T26" i="31"/>
  <c r="Q26" i="31"/>
  <c r="P26" i="31"/>
  <c r="N26" i="31"/>
  <c r="L26" i="31"/>
  <c r="BB25" i="31"/>
  <c r="BA25" i="31"/>
  <c r="AY25" i="31"/>
  <c r="AW25" i="31"/>
  <c r="AT25" i="31"/>
  <c r="AS25" i="31"/>
  <c r="AQ25" i="31"/>
  <c r="AO25" i="31"/>
  <c r="AL25" i="31"/>
  <c r="AK25" i="31"/>
  <c r="AI25" i="31"/>
  <c r="AG25" i="31"/>
  <c r="AD25" i="31"/>
  <c r="AC25" i="31"/>
  <c r="AA25" i="31"/>
  <c r="Y25" i="31"/>
  <c r="V25" i="31"/>
  <c r="U25" i="31"/>
  <c r="S25" i="31"/>
  <c r="R25" i="31"/>
  <c r="Q25" i="31"/>
  <c r="N25" i="31"/>
  <c r="M25" i="31"/>
  <c r="K25" i="31"/>
  <c r="K27" i="31" s="1"/>
  <c r="J25" i="31"/>
  <c r="J27" i="31" s="1"/>
  <c r="H25" i="31"/>
  <c r="E25" i="31"/>
  <c r="BA26" i="31" s="1"/>
  <c r="J23" i="31"/>
  <c r="BB22" i="31"/>
  <c r="BA22" i="31"/>
  <c r="AZ22" i="31"/>
  <c r="AX22" i="31"/>
  <c r="AW22" i="31"/>
  <c r="AV22" i="31"/>
  <c r="AU22" i="31"/>
  <c r="AT22" i="31"/>
  <c r="AS22" i="31"/>
  <c r="AR22" i="31"/>
  <c r="AP22" i="31"/>
  <c r="AO22" i="31"/>
  <c r="AN22" i="31"/>
  <c r="AM22" i="31"/>
  <c r="AL22" i="31"/>
  <c r="AK22" i="31"/>
  <c r="AJ22" i="31"/>
  <c r="AH22" i="31"/>
  <c r="AG22" i="31"/>
  <c r="AF22" i="31"/>
  <c r="AE22" i="31"/>
  <c r="AD22" i="31"/>
  <c r="AC22" i="31"/>
  <c r="AB22" i="31"/>
  <c r="Z22" i="31"/>
  <c r="Y22" i="31"/>
  <c r="X22" i="31"/>
  <c r="W22" i="31"/>
  <c r="V22" i="31"/>
  <c r="U22" i="31"/>
  <c r="T22" i="31"/>
  <c r="R22" i="31"/>
  <c r="Q22" i="31"/>
  <c r="P22" i="31"/>
  <c r="O22" i="31"/>
  <c r="N22" i="31"/>
  <c r="M22" i="31"/>
  <c r="L22" i="31"/>
  <c r="J22" i="31"/>
  <c r="BB21" i="31"/>
  <c r="BA21" i="31"/>
  <c r="AZ21" i="31"/>
  <c r="AY21" i="31"/>
  <c r="AX21" i="31"/>
  <c r="AW21" i="31"/>
  <c r="AU21" i="31"/>
  <c r="AT21" i="31"/>
  <c r="AS21" i="31"/>
  <c r="AR21" i="31"/>
  <c r="AQ21" i="31"/>
  <c r="AP21" i="31"/>
  <c r="AO21" i="31"/>
  <c r="AM21" i="31"/>
  <c r="AL21" i="31"/>
  <c r="AK21" i="31"/>
  <c r="AJ21" i="31"/>
  <c r="AI21" i="31"/>
  <c r="AH21" i="31"/>
  <c r="AG21" i="31"/>
  <c r="AE21" i="31"/>
  <c r="AD21" i="31"/>
  <c r="AC21" i="31"/>
  <c r="AB21" i="31"/>
  <c r="AA21" i="31"/>
  <c r="Z21" i="31"/>
  <c r="Y21" i="31"/>
  <c r="W21" i="31"/>
  <c r="V21" i="31"/>
  <c r="U21" i="31"/>
  <c r="T21" i="31"/>
  <c r="S21" i="31"/>
  <c r="R21" i="31"/>
  <c r="Q21" i="31"/>
  <c r="O21" i="31"/>
  <c r="N21" i="31"/>
  <c r="M21" i="31"/>
  <c r="L21" i="31"/>
  <c r="K21" i="31"/>
  <c r="J21" i="31"/>
  <c r="H21" i="31"/>
  <c r="E21" i="31"/>
  <c r="AY22" i="31" s="1"/>
  <c r="BB18" i="31"/>
  <c r="BA18" i="31"/>
  <c r="AZ18" i="31"/>
  <c r="AY18" i="31"/>
  <c r="AX18" i="31"/>
  <c r="AW18" i="31"/>
  <c r="AV18" i="31"/>
  <c r="AU18" i="31"/>
  <c r="AT18" i="31"/>
  <c r="AS18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Y18" i="31"/>
  <c r="X18" i="31"/>
  <c r="W18" i="31"/>
  <c r="V18" i="31"/>
  <c r="U18" i="31"/>
  <c r="T18" i="31"/>
  <c r="S18" i="31"/>
  <c r="R18" i="31"/>
  <c r="Q18" i="31"/>
  <c r="P18" i="31"/>
  <c r="O18" i="31"/>
  <c r="N18" i="31"/>
  <c r="M18" i="31"/>
  <c r="L18" i="31"/>
  <c r="K18" i="31"/>
  <c r="J18" i="31"/>
  <c r="BB17" i="31"/>
  <c r="BA17" i="31"/>
  <c r="AZ17" i="31"/>
  <c r="AY17" i="31"/>
  <c r="AX17" i="31"/>
  <c r="AW17" i="31"/>
  <c r="AV17" i="31"/>
  <c r="AU17" i="31"/>
  <c r="AT17" i="31"/>
  <c r="AS17" i="31"/>
  <c r="AR17" i="31"/>
  <c r="AQ17" i="31"/>
  <c r="AP17" i="31"/>
  <c r="AO17" i="31"/>
  <c r="AN17" i="31"/>
  <c r="AM17" i="31"/>
  <c r="AL17" i="31"/>
  <c r="AK17" i="31"/>
  <c r="AJ17" i="31"/>
  <c r="AI17" i="31"/>
  <c r="AH17" i="31"/>
  <c r="AG17" i="31"/>
  <c r="AF17" i="31"/>
  <c r="AE17" i="31"/>
  <c r="AD17" i="31"/>
  <c r="AC17" i="31"/>
  <c r="AB17" i="31"/>
  <c r="AA17" i="31"/>
  <c r="Z17" i="31"/>
  <c r="Y17" i="31"/>
  <c r="X17" i="31"/>
  <c r="W17" i="31"/>
  <c r="V17" i="31"/>
  <c r="U17" i="31"/>
  <c r="T17" i="31"/>
  <c r="S17" i="31"/>
  <c r="R17" i="31"/>
  <c r="Q17" i="31"/>
  <c r="P17" i="31"/>
  <c r="O17" i="31"/>
  <c r="N17" i="31"/>
  <c r="M17" i="31"/>
  <c r="L17" i="31"/>
  <c r="K17" i="31"/>
  <c r="J17" i="31"/>
  <c r="J19" i="31" s="1"/>
  <c r="K19" i="31" s="1"/>
  <c r="L19" i="31" s="1"/>
  <c r="BB4" i="31"/>
  <c r="BA4" i="31"/>
  <c r="AZ4" i="31"/>
  <c r="AY4" i="31"/>
  <c r="AX4" i="31"/>
  <c r="AW4" i="31"/>
  <c r="AV4" i="31"/>
  <c r="AU4" i="31"/>
  <c r="AT4" i="31"/>
  <c r="AS4" i="31"/>
  <c r="AR4" i="31"/>
  <c r="AQ4" i="31"/>
  <c r="AP4" i="31"/>
  <c r="AO4" i="31"/>
  <c r="AN4" i="31"/>
  <c r="AM4" i="31"/>
  <c r="AL4" i="31"/>
  <c r="AK4" i="31"/>
  <c r="AJ4" i="31"/>
  <c r="AI4" i="31"/>
  <c r="AH4" i="31"/>
  <c r="AG4" i="31"/>
  <c r="AF4" i="31"/>
  <c r="AE4" i="31"/>
  <c r="AD4" i="31"/>
  <c r="AC4" i="31"/>
  <c r="AB4" i="31"/>
  <c r="AA4" i="31"/>
  <c r="Z4" i="31"/>
  <c r="Y4" i="31"/>
  <c r="X4" i="31"/>
  <c r="W4" i="31"/>
  <c r="V4" i="31"/>
  <c r="U4" i="31"/>
  <c r="T4" i="31"/>
  <c r="S4" i="31"/>
  <c r="R4" i="31"/>
  <c r="Q4" i="31"/>
  <c r="P4" i="31"/>
  <c r="O4" i="31"/>
  <c r="N4" i="31"/>
  <c r="M4" i="31"/>
  <c r="L4" i="31"/>
  <c r="K4" i="31"/>
  <c r="J4" i="31"/>
  <c r="BB38" i="30"/>
  <c r="AF37" i="30" a="1"/>
  <c r="AF37" i="30" s="1"/>
  <c r="AE37" i="30" a="1"/>
  <c r="AE37" i="30" s="1"/>
  <c r="AD37" i="30" a="1"/>
  <c r="AD37" i="30" s="1"/>
  <c r="AB37" i="30" a="1"/>
  <c r="AB37" i="30" s="1"/>
  <c r="AA37" i="30" a="1"/>
  <c r="AA37" i="30" s="1"/>
  <c r="Z37" i="30" a="1"/>
  <c r="Z37" i="30" s="1"/>
  <c r="X37" i="30" a="1"/>
  <c r="X37" i="30" s="1"/>
  <c r="W37" i="30" a="1"/>
  <c r="W37" i="30" s="1"/>
  <c r="V37" i="30"/>
  <c r="V37" i="30" a="1"/>
  <c r="T37" i="30" a="1"/>
  <c r="T37" i="30" s="1"/>
  <c r="S37" i="30" a="1"/>
  <c r="S37" i="30" s="1"/>
  <c r="R37" i="30"/>
  <c r="R37" i="30" a="1"/>
  <c r="P37" i="30" a="1"/>
  <c r="P37" i="30" s="1"/>
  <c r="O37" i="30" a="1"/>
  <c r="O37" i="30" s="1"/>
  <c r="N37" i="30" a="1"/>
  <c r="N37" i="30" s="1"/>
  <c r="L37" i="30" a="1"/>
  <c r="L37" i="30" s="1"/>
  <c r="J37" i="30" a="1"/>
  <c r="J37" i="30" s="1"/>
  <c r="AJ36" i="30"/>
  <c r="AF36" i="30"/>
  <c r="AE36" i="30"/>
  <c r="AD36" i="30"/>
  <c r="AC36" i="30"/>
  <c r="AB36" i="30"/>
  <c r="AA36" i="30"/>
  <c r="X36" i="30"/>
  <c r="W36" i="30"/>
  <c r="V36" i="30"/>
  <c r="U36" i="30"/>
  <c r="T36" i="30"/>
  <c r="S36" i="30"/>
  <c r="P36" i="30"/>
  <c r="O36" i="30"/>
  <c r="N36" i="30"/>
  <c r="M36" i="30"/>
  <c r="L36" i="30"/>
  <c r="J36" i="30"/>
  <c r="E36" i="30"/>
  <c r="AD29" i="30" a="1"/>
  <c r="AD29" i="30" s="1"/>
  <c r="AC29" i="30" a="1"/>
  <c r="AC29" i="30" s="1"/>
  <c r="Y29" i="30" a="1"/>
  <c r="Y29" i="30" s="1"/>
  <c r="X29" i="30" a="1"/>
  <c r="X29" i="30" s="1"/>
  <c r="T29" i="30" a="1"/>
  <c r="T29" i="30" s="1"/>
  <c r="R29" i="30" a="1"/>
  <c r="R29" i="30" s="1"/>
  <c r="N29" i="30" a="1"/>
  <c r="N29" i="30" s="1"/>
  <c r="M29" i="30" a="1"/>
  <c r="M29" i="30" s="1"/>
  <c r="AB28" i="30"/>
  <c r="AA28" i="30"/>
  <c r="Z28" i="30"/>
  <c r="Y28" i="30"/>
  <c r="R28" i="30"/>
  <c r="Q28" i="30"/>
  <c r="P28" i="30"/>
  <c r="M28" i="30"/>
  <c r="E28" i="30"/>
  <c r="AS22" i="30" a="1"/>
  <c r="AS22" i="30" s="1"/>
  <c r="X22" i="30" a="1"/>
  <c r="X22" i="30" s="1"/>
  <c r="W22" i="30" a="1"/>
  <c r="W22" i="30" s="1"/>
  <c r="O22" i="30" a="1"/>
  <c r="O22" i="30" s="1"/>
  <c r="AE21" i="30"/>
  <c r="AD21" i="30"/>
  <c r="O21" i="30"/>
  <c r="N21" i="30"/>
  <c r="E21" i="30"/>
  <c r="AS19" i="30"/>
  <c r="AF19" i="30"/>
  <c r="AE19" i="30"/>
  <c r="AD19" i="30"/>
  <c r="AC19" i="30"/>
  <c r="AB19" i="30"/>
  <c r="AA19" i="30"/>
  <c r="Z19" i="30"/>
  <c r="Y19" i="30"/>
  <c r="X19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J19" i="30"/>
  <c r="AF18" i="30"/>
  <c r="AE18" i="30"/>
  <c r="AD18" i="30"/>
  <c r="AC18" i="30"/>
  <c r="AB18" i="30"/>
  <c r="AA18" i="30"/>
  <c r="Z18" i="30"/>
  <c r="Y18" i="30"/>
  <c r="X18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J18" i="30"/>
  <c r="AR16" i="30"/>
  <c r="BB14" i="30"/>
  <c r="BA14" i="30"/>
  <c r="AZ14" i="30"/>
  <c r="AY14" i="30"/>
  <c r="AX14" i="30"/>
  <c r="AW14" i="30"/>
  <c r="AV14" i="30"/>
  <c r="AU14" i="30"/>
  <c r="AT14" i="30"/>
  <c r="AS14" i="30"/>
  <c r="AR14" i="30"/>
  <c r="AQ14" i="30"/>
  <c r="AP14" i="30"/>
  <c r="AO14" i="30"/>
  <c r="AN14" i="30"/>
  <c r="AM14" i="30"/>
  <c r="AL14" i="30"/>
  <c r="AK14" i="30"/>
  <c r="AJ14" i="30"/>
  <c r="AI14" i="30"/>
  <c r="AH14" i="30"/>
  <c r="BB13" i="30"/>
  <c r="BA13" i="30"/>
  <c r="AX13" i="30"/>
  <c r="AW13" i="30"/>
  <c r="AV13" i="30"/>
  <c r="AU13" i="30"/>
  <c r="AT13" i="30"/>
  <c r="AS13" i="30"/>
  <c r="AR13" i="30"/>
  <c r="AQ13" i="30"/>
  <c r="AP13" i="30"/>
  <c r="AP18" i="30" s="1"/>
  <c r="AO13" i="30"/>
  <c r="AN13" i="30"/>
  <c r="AM13" i="30"/>
  <c r="AL13" i="30"/>
  <c r="AK13" i="30"/>
  <c r="AJ13" i="30"/>
  <c r="AI13" i="30"/>
  <c r="AH13" i="30"/>
  <c r="BB12" i="30"/>
  <c r="BB36" i="30" s="1"/>
  <c r="BA12" i="30"/>
  <c r="BA36" i="30" s="1"/>
  <c r="AZ12" i="30"/>
  <c r="AZ36" i="30" s="1"/>
  <c r="AY12" i="30"/>
  <c r="AX12" i="30"/>
  <c r="AW12" i="30"/>
  <c r="AW36" i="30" s="1"/>
  <c r="AV12" i="30"/>
  <c r="AV36" i="30" s="1"/>
  <c r="AU12" i="30"/>
  <c r="AU36" i="30" s="1"/>
  <c r="AT12" i="30"/>
  <c r="AT36" i="30" s="1"/>
  <c r="AS12" i="30"/>
  <c r="AS36" i="30" s="1"/>
  <c r="AR12" i="30"/>
  <c r="AR36" i="30" s="1"/>
  <c r="AQ12" i="30"/>
  <c r="AP12" i="30"/>
  <c r="AO12" i="30"/>
  <c r="AO36" i="30" s="1"/>
  <c r="AN12" i="30"/>
  <c r="AN36" i="30" s="1"/>
  <c r="AM12" i="30"/>
  <c r="AM36" i="30" s="1"/>
  <c r="AL12" i="30"/>
  <c r="AL36" i="30" s="1"/>
  <c r="AK12" i="30"/>
  <c r="AK36" i="30" s="1"/>
  <c r="AJ12" i="30"/>
  <c r="AI12" i="30"/>
  <c r="AH12" i="30"/>
  <c r="BB11" i="30"/>
  <c r="BA11" i="30"/>
  <c r="AZ11" i="30"/>
  <c r="AY11" i="30"/>
  <c r="AX11" i="30"/>
  <c r="AW11" i="30"/>
  <c r="AV11" i="30"/>
  <c r="AU11" i="30"/>
  <c r="AT11" i="30"/>
  <c r="AS11" i="30"/>
  <c r="AR11" i="30"/>
  <c r="AQ11" i="30"/>
  <c r="AP11" i="30"/>
  <c r="AO11" i="30"/>
  <c r="AN11" i="30"/>
  <c r="AM11" i="30"/>
  <c r="AL11" i="30"/>
  <c r="AK11" i="30"/>
  <c r="AJ11" i="30"/>
  <c r="AI11" i="30"/>
  <c r="AH11" i="30"/>
  <c r="BB10" i="30"/>
  <c r="BA10" i="30"/>
  <c r="AX10" i="30"/>
  <c r="AW10" i="30"/>
  <c r="AV10" i="30"/>
  <c r="AV21" i="30" s="1"/>
  <c r="AU10" i="30"/>
  <c r="AU21" i="30" s="1"/>
  <c r="AT10" i="30"/>
  <c r="AS10" i="30"/>
  <c r="AR10" i="30"/>
  <c r="AQ10" i="30"/>
  <c r="AP10" i="30"/>
  <c r="AO10" i="30"/>
  <c r="AN10" i="30"/>
  <c r="AM10" i="30"/>
  <c r="AL10" i="30"/>
  <c r="AK10" i="30"/>
  <c r="AJ10" i="30"/>
  <c r="AI10" i="30"/>
  <c r="AH10" i="30"/>
  <c r="BB9" i="30"/>
  <c r="BA9" i="30"/>
  <c r="AZ9" i="30"/>
  <c r="AY9" i="30"/>
  <c r="AX9" i="30"/>
  <c r="AW9" i="30"/>
  <c r="AV9" i="30"/>
  <c r="AU9" i="30"/>
  <c r="AT9" i="30"/>
  <c r="AS9" i="30"/>
  <c r="AR9" i="30"/>
  <c r="AQ9" i="30"/>
  <c r="AP9" i="30"/>
  <c r="AO9" i="30"/>
  <c r="AN9" i="30"/>
  <c r="AM9" i="30"/>
  <c r="AL9" i="30"/>
  <c r="AK9" i="30"/>
  <c r="AJ9" i="30"/>
  <c r="AI9" i="30"/>
  <c r="AH9" i="30"/>
  <c r="BB8" i="30"/>
  <c r="BA8" i="30"/>
  <c r="AZ8" i="30"/>
  <c r="AY8" i="30"/>
  <c r="AX8" i="30"/>
  <c r="AW8" i="30"/>
  <c r="AV8" i="30"/>
  <c r="AU8" i="30"/>
  <c r="AT8" i="30"/>
  <c r="AS8" i="30"/>
  <c r="AR8" i="30"/>
  <c r="AQ8" i="30"/>
  <c r="AP8" i="30"/>
  <c r="AO8" i="30"/>
  <c r="AN8" i="30"/>
  <c r="AM8" i="30"/>
  <c r="AL8" i="30"/>
  <c r="AK8" i="30"/>
  <c r="AJ8" i="30"/>
  <c r="AI8" i="30"/>
  <c r="AH8" i="30"/>
  <c r="BB7" i="30"/>
  <c r="BA7" i="30"/>
  <c r="AZ7" i="30"/>
  <c r="AY7" i="30"/>
  <c r="AX7" i="30"/>
  <c r="AW7" i="30"/>
  <c r="AV7" i="30"/>
  <c r="AU7" i="30"/>
  <c r="AT7" i="30"/>
  <c r="AS7" i="30"/>
  <c r="AR7" i="30"/>
  <c r="AQ7" i="30"/>
  <c r="AP7" i="30"/>
  <c r="AO7" i="30"/>
  <c r="AN7" i="30"/>
  <c r="AM7" i="30"/>
  <c r="AL7" i="30"/>
  <c r="AK7" i="30"/>
  <c r="AJ7" i="30"/>
  <c r="AI7" i="30"/>
  <c r="AH7" i="30"/>
  <c r="BB6" i="30"/>
  <c r="BA6" i="30"/>
  <c r="AZ6" i="30"/>
  <c r="AY6" i="30"/>
  <c r="AX6" i="30"/>
  <c r="AW6" i="30"/>
  <c r="AV6" i="30"/>
  <c r="AU6" i="30"/>
  <c r="AT6" i="30"/>
  <c r="AS6" i="30"/>
  <c r="AR6" i="30"/>
  <c r="AQ6" i="30"/>
  <c r="AP6" i="30"/>
  <c r="AO6" i="30"/>
  <c r="AN6" i="30"/>
  <c r="AM6" i="30"/>
  <c r="AL6" i="30"/>
  <c r="AK6" i="30"/>
  <c r="AJ6" i="30"/>
  <c r="AI6" i="30"/>
  <c r="AH6" i="30"/>
  <c r="BB5" i="30"/>
  <c r="BA5" i="30"/>
  <c r="BA18" i="30" s="1"/>
  <c r="AX5" i="30"/>
  <c r="AW5" i="30"/>
  <c r="AV5" i="30"/>
  <c r="AU5" i="30"/>
  <c r="AU29" i="30" s="1" a="1"/>
  <c r="AU29" i="30" s="1"/>
  <c r="AT5" i="30"/>
  <c r="AS5" i="30"/>
  <c r="AR5" i="30"/>
  <c r="AQ5" i="30"/>
  <c r="AQ19" i="30" s="1"/>
  <c r="AP5" i="30"/>
  <c r="AO5" i="30"/>
  <c r="AO18" i="30" s="1"/>
  <c r="AN5" i="30"/>
  <c r="AM5" i="30"/>
  <c r="AL5" i="30"/>
  <c r="AK5" i="30"/>
  <c r="AJ5" i="30"/>
  <c r="AJ37" i="30" s="1" a="1"/>
  <c r="AJ37" i="30" s="1"/>
  <c r="AI5" i="30"/>
  <c r="AI19" i="30" s="1"/>
  <c r="AH5" i="30"/>
  <c r="BB4" i="30"/>
  <c r="BB16" i="30" s="1"/>
  <c r="AU4" i="30"/>
  <c r="AU16" i="30" s="1"/>
  <c r="AT4" i="30"/>
  <c r="AT16" i="30" s="1"/>
  <c r="AM4" i="30"/>
  <c r="AM16" i="30" s="1"/>
  <c r="AF4" i="30"/>
  <c r="AE4" i="30"/>
  <c r="BA4" i="30" s="1"/>
  <c r="BA16" i="30" s="1"/>
  <c r="AD4" i="30"/>
  <c r="AZ4" i="30" s="1"/>
  <c r="AZ16" i="30" s="1"/>
  <c r="AC4" i="30"/>
  <c r="AY4" i="30" s="1"/>
  <c r="AY16" i="30" s="1"/>
  <c r="AB4" i="30"/>
  <c r="AX4" i="30" s="1"/>
  <c r="AX16" i="30" s="1"/>
  <c r="AA4" i="30"/>
  <c r="AW4" i="30" s="1"/>
  <c r="AW16" i="30" s="1"/>
  <c r="Z4" i="30"/>
  <c r="AV4" i="30" s="1"/>
  <c r="AV16" i="30" s="1"/>
  <c r="Y4" i="30"/>
  <c r="X4" i="30"/>
  <c r="W4" i="30"/>
  <c r="AS4" i="30" s="1"/>
  <c r="AS16" i="30" s="1"/>
  <c r="V4" i="30"/>
  <c r="AR4" i="30" s="1"/>
  <c r="U4" i="30"/>
  <c r="AQ4" i="30" s="1"/>
  <c r="AQ16" i="30" s="1"/>
  <c r="T4" i="30"/>
  <c r="AP4" i="30" s="1"/>
  <c r="AP16" i="30" s="1"/>
  <c r="S4" i="30"/>
  <c r="AO4" i="30" s="1"/>
  <c r="AO16" i="30" s="1"/>
  <c r="R4" i="30"/>
  <c r="AN4" i="30" s="1"/>
  <c r="AN16" i="30" s="1"/>
  <c r="Q4" i="30"/>
  <c r="P4" i="30"/>
  <c r="AL4" i="30" s="1"/>
  <c r="AL16" i="30" s="1"/>
  <c r="O4" i="30"/>
  <c r="AK4" i="30" s="1"/>
  <c r="AK39" i="30" s="1"/>
  <c r="N4" i="30"/>
  <c r="AJ4" i="30" s="1"/>
  <c r="AJ16" i="30" s="1"/>
  <c r="M4" i="30"/>
  <c r="AI4" i="30" s="1"/>
  <c r="AI16" i="30" s="1"/>
  <c r="L4" i="30"/>
  <c r="AH4" i="30" s="1"/>
  <c r="AH16" i="30" s="1"/>
  <c r="BB3" i="30"/>
  <c r="BA3" i="30"/>
  <c r="AZ3" i="30"/>
  <c r="AY3" i="30"/>
  <c r="AX3" i="30"/>
  <c r="AW3" i="30"/>
  <c r="AV3" i="30"/>
  <c r="AU3" i="30"/>
  <c r="AT3" i="30"/>
  <c r="AS3" i="30"/>
  <c r="AR3" i="30"/>
  <c r="AQ3" i="30"/>
  <c r="AP3" i="30"/>
  <c r="AO3" i="30"/>
  <c r="AN3" i="30"/>
  <c r="AM3" i="30"/>
  <c r="AL3" i="30"/>
  <c r="AK3" i="30"/>
  <c r="AJ3" i="30"/>
  <c r="AI3" i="30"/>
  <c r="AH3" i="30"/>
  <c r="BA44" i="29" a="1"/>
  <c r="BA44" i="29" s="1"/>
  <c r="AW44" i="29" a="1"/>
  <c r="AW44" i="29" s="1"/>
  <c r="AS44" i="29" a="1"/>
  <c r="AS44" i="29" s="1"/>
  <c r="AR44" i="29" a="1"/>
  <c r="AR44" i="29" s="1"/>
  <c r="AO44" i="29" a="1"/>
  <c r="AO44" i="29" s="1"/>
  <c r="AN44" i="29" a="1"/>
  <c r="AN44" i="29" s="1"/>
  <c r="AK44" i="29" a="1"/>
  <c r="AK44" i="29" s="1"/>
  <c r="AJ44" i="29" a="1"/>
  <c r="AJ44" i="29" s="1"/>
  <c r="AG44" i="29" a="1"/>
  <c r="AG44" i="29" s="1"/>
  <c r="AF44" i="29" a="1"/>
  <c r="AF44" i="29" s="1"/>
  <c r="AC44" i="29" a="1"/>
  <c r="AC44" i="29" s="1"/>
  <c r="AB44" i="29" a="1"/>
  <c r="AB44" i="29" s="1"/>
  <c r="Y44" i="29" a="1"/>
  <c r="Y44" i="29" s="1"/>
  <c r="X44" i="29" a="1"/>
  <c r="X44" i="29" s="1"/>
  <c r="U44" i="29" a="1"/>
  <c r="U44" i="29" s="1"/>
  <c r="T44" i="29" a="1"/>
  <c r="T44" i="29" s="1"/>
  <c r="Q44" i="29" a="1"/>
  <c r="Q44" i="29" s="1"/>
  <c r="P44" i="29" a="1"/>
  <c r="P44" i="29" s="1"/>
  <c r="M44" i="29" a="1"/>
  <c r="M44" i="29" s="1"/>
  <c r="L44" i="29" a="1"/>
  <c r="L44" i="29" s="1"/>
  <c r="CV43" i="29"/>
  <c r="CU43" i="29"/>
  <c r="CS43" i="29"/>
  <c r="CN43" i="29"/>
  <c r="CM43" i="29"/>
  <c r="CK43" i="29"/>
  <c r="CF43" i="29"/>
  <c r="CE43" i="29"/>
  <c r="CC43" i="29"/>
  <c r="BX43" i="29"/>
  <c r="BW43" i="29"/>
  <c r="BU43" i="29"/>
  <c r="BP43" i="29"/>
  <c r="BO43" i="29"/>
  <c r="BM43" i="29"/>
  <c r="BH43" i="29"/>
  <c r="BG43" i="29"/>
  <c r="BD43" i="29"/>
  <c r="AY43" i="29"/>
  <c r="AX43" i="29"/>
  <c r="AV43" i="29"/>
  <c r="AQ43" i="29"/>
  <c r="AP43" i="29"/>
  <c r="AN43" i="29"/>
  <c r="AI43" i="29"/>
  <c r="AH43" i="29"/>
  <c r="AF43" i="29"/>
  <c r="AA43" i="29"/>
  <c r="Z43" i="29"/>
  <c r="X43" i="29"/>
  <c r="S43" i="29"/>
  <c r="R43" i="29"/>
  <c r="P43" i="29"/>
  <c r="J43" i="29"/>
  <c r="I43" i="29"/>
  <c r="E43" i="29"/>
  <c r="CR43" i="29" s="1"/>
  <c r="BC41" i="29" a="1"/>
  <c r="BC41" i="29" s="1"/>
  <c r="AY41" i="29" a="1"/>
  <c r="AY41" i="29" s="1"/>
  <c r="AU41" i="29" a="1"/>
  <c r="AU41" i="29" s="1"/>
  <c r="AQ41" i="29" a="1"/>
  <c r="AQ41" i="29" s="1"/>
  <c r="AM41" i="29" a="1"/>
  <c r="AM41" i="29" s="1"/>
  <c r="AI41" i="29" a="1"/>
  <c r="AI41" i="29" s="1"/>
  <c r="AE41" i="29" a="1"/>
  <c r="AE41" i="29" s="1"/>
  <c r="AA41" i="29" a="1"/>
  <c r="AA41" i="29" s="1"/>
  <c r="W41" i="29" a="1"/>
  <c r="W41" i="29" s="1"/>
  <c r="S41" i="29" a="1"/>
  <c r="S41" i="29" s="1"/>
  <c r="O41" i="29" a="1"/>
  <c r="O41" i="29" s="1"/>
  <c r="M41" i="29" a="1"/>
  <c r="M41" i="29" s="1"/>
  <c r="J41" i="29" a="1"/>
  <c r="J41" i="29" s="1"/>
  <c r="CX40" i="29"/>
  <c r="CV40" i="29"/>
  <c r="CU40" i="29"/>
  <c r="CQ40" i="29"/>
  <c r="CP40" i="29"/>
  <c r="CN40" i="29"/>
  <c r="CM40" i="29"/>
  <c r="CI40" i="29"/>
  <c r="CH40" i="29"/>
  <c r="CF40" i="29"/>
  <c r="CE40" i="29"/>
  <c r="CA40" i="29"/>
  <c r="BZ40" i="29"/>
  <c r="BX40" i="29"/>
  <c r="BW40" i="29"/>
  <c r="BS40" i="29"/>
  <c r="BR40" i="29"/>
  <c r="BP40" i="29"/>
  <c r="BO40" i="29"/>
  <c r="BK40" i="29"/>
  <c r="BJ40" i="29"/>
  <c r="BH40" i="29"/>
  <c r="BG40" i="29"/>
  <c r="BB40" i="29"/>
  <c r="BA40" i="29"/>
  <c r="AY40" i="29"/>
  <c r="AX40" i="29"/>
  <c r="AT40" i="29"/>
  <c r="AS40" i="29"/>
  <c r="AQ40" i="29"/>
  <c r="AP40" i="29"/>
  <c r="AL40" i="29"/>
  <c r="AK40" i="29"/>
  <c r="AI40" i="29"/>
  <c r="AH40" i="29"/>
  <c r="AD40" i="29"/>
  <c r="AC40" i="29"/>
  <c r="AA40" i="29"/>
  <c r="Z40" i="29"/>
  <c r="V40" i="29"/>
  <c r="U40" i="29"/>
  <c r="S40" i="29"/>
  <c r="R40" i="29"/>
  <c r="N40" i="29"/>
  <c r="M40" i="29"/>
  <c r="J40" i="29"/>
  <c r="I40" i="29"/>
  <c r="E40" i="29"/>
  <c r="BD38" i="29" a="1"/>
  <c r="BD38" i="29" s="1"/>
  <c r="AZ38" i="29" a="1"/>
  <c r="AZ38" i="29" s="1"/>
  <c r="AY38" i="29" a="1"/>
  <c r="AY38" i="29" s="1"/>
  <c r="AV38" i="29" a="1"/>
  <c r="AV38" i="29" s="1"/>
  <c r="AR38" i="29" a="1"/>
  <c r="AR38" i="29" s="1"/>
  <c r="AQ38" i="29" a="1"/>
  <c r="AQ38" i="29" s="1"/>
  <c r="AN38" i="29" a="1"/>
  <c r="AN38" i="29" s="1"/>
  <c r="AJ38" i="29" a="1"/>
  <c r="AJ38" i="29" s="1"/>
  <c r="AI38" i="29" a="1"/>
  <c r="AI38" i="29" s="1"/>
  <c r="AF38" i="29" a="1"/>
  <c r="AF38" i="29" s="1"/>
  <c r="AB38" i="29" a="1"/>
  <c r="AB38" i="29" s="1"/>
  <c r="AA38" i="29" a="1"/>
  <c r="AA38" i="29" s="1"/>
  <c r="X38" i="29" a="1"/>
  <c r="X38" i="29" s="1"/>
  <c r="T38" i="29" a="1"/>
  <c r="T38" i="29" s="1"/>
  <c r="S38" i="29" a="1"/>
  <c r="S38" i="29" s="1"/>
  <c r="P38" i="29" a="1"/>
  <c r="P38" i="29" s="1"/>
  <c r="L38" i="29" a="1"/>
  <c r="L38" i="29" s="1"/>
  <c r="J38" i="29" a="1"/>
  <c r="J38" i="29" s="1"/>
  <c r="CX37" i="29"/>
  <c r="CT37" i="29"/>
  <c r="CS37" i="29"/>
  <c r="CP37" i="29"/>
  <c r="CK37" i="29"/>
  <c r="CI37" i="29"/>
  <c r="CH37" i="29"/>
  <c r="CD37" i="29"/>
  <c r="CC37" i="29"/>
  <c r="BZ37" i="29"/>
  <c r="BU37" i="29"/>
  <c r="BS37" i="29"/>
  <c r="BR37" i="29"/>
  <c r="BN37" i="29"/>
  <c r="BM37" i="29"/>
  <c r="BJ37" i="29"/>
  <c r="BD37" i="29"/>
  <c r="BB37" i="29"/>
  <c r="BA37" i="29"/>
  <c r="AW37" i="29"/>
  <c r="AV37" i="29"/>
  <c r="AS37" i="29"/>
  <c r="AN37" i="29"/>
  <c r="AL37" i="29"/>
  <c r="AK37" i="29"/>
  <c r="AG37" i="29"/>
  <c r="AF37" i="29"/>
  <c r="AC37" i="29"/>
  <c r="X37" i="29"/>
  <c r="V37" i="29"/>
  <c r="U37" i="29"/>
  <c r="Q37" i="29"/>
  <c r="P37" i="29"/>
  <c r="M37" i="29"/>
  <c r="E37" i="29"/>
  <c r="BD35" i="29" a="1"/>
  <c r="BD35" i="29" s="1"/>
  <c r="AZ35" i="29" a="1"/>
  <c r="AZ35" i="29" s="1"/>
  <c r="AX35" i="29" a="1"/>
  <c r="AX35" i="29" s="1"/>
  <c r="AV35" i="29" a="1"/>
  <c r="AV35" i="29" s="1"/>
  <c r="AR35" i="29"/>
  <c r="AR35" i="29" a="1"/>
  <c r="AP35" i="29" a="1"/>
  <c r="AP35" i="29" s="1"/>
  <c r="AN35" i="29" a="1"/>
  <c r="AN35" i="29" s="1"/>
  <c r="AJ35" i="29" a="1"/>
  <c r="AJ35" i="29" s="1"/>
  <c r="AH35" i="29" a="1"/>
  <c r="AH35" i="29" s="1"/>
  <c r="AF35" i="29" a="1"/>
  <c r="AF35" i="29" s="1"/>
  <c r="AD35" i="29" a="1"/>
  <c r="AD35" i="29" s="1"/>
  <c r="AB35" i="29" a="1"/>
  <c r="AB35" i="29" s="1"/>
  <c r="Z35" i="29" a="1"/>
  <c r="Z35" i="29" s="1"/>
  <c r="X35" i="29" a="1"/>
  <c r="X35" i="29" s="1"/>
  <c r="V35" i="29" a="1"/>
  <c r="V35" i="29" s="1"/>
  <c r="T35" i="29" a="1"/>
  <c r="T35" i="29" s="1"/>
  <c r="R35" i="29" a="1"/>
  <c r="R35" i="29" s="1"/>
  <c r="P35" i="29" a="1"/>
  <c r="P35" i="29" s="1"/>
  <c r="N35" i="29" a="1"/>
  <c r="N35" i="29" s="1"/>
  <c r="L35" i="29" a="1"/>
  <c r="L35" i="29" s="1"/>
  <c r="CW34" i="29"/>
  <c r="CV34" i="29"/>
  <c r="CT34" i="29"/>
  <c r="CS34" i="29"/>
  <c r="CO34" i="29"/>
  <c r="CN34" i="29"/>
  <c r="CM34" i="29"/>
  <c r="CL34" i="29"/>
  <c r="CK34" i="29"/>
  <c r="CF34" i="29"/>
  <c r="CE34" i="29"/>
  <c r="CD34" i="29"/>
  <c r="CC34" i="29"/>
  <c r="BY34" i="29"/>
  <c r="BX34" i="29"/>
  <c r="BW34" i="29"/>
  <c r="BU34" i="29"/>
  <c r="BQ34" i="29"/>
  <c r="BP34" i="29"/>
  <c r="BO34" i="29"/>
  <c r="BN34" i="29"/>
  <c r="BM34" i="29"/>
  <c r="BI34" i="29"/>
  <c r="BG34" i="29"/>
  <c r="BF34" i="29"/>
  <c r="BD34" i="29"/>
  <c r="AZ34" i="29"/>
  <c r="AY34" i="29"/>
  <c r="AX34" i="29"/>
  <c r="AW34" i="29"/>
  <c r="AR34" i="29"/>
  <c r="AQ34" i="29"/>
  <c r="AP34" i="29"/>
  <c r="AO34" i="29"/>
  <c r="AN34" i="29"/>
  <c r="AJ34" i="29"/>
  <c r="AI34" i="29"/>
  <c r="AG34" i="29"/>
  <c r="AF34" i="29"/>
  <c r="AB34" i="29"/>
  <c r="AA34" i="29"/>
  <c r="Z34" i="29"/>
  <c r="Y34" i="29"/>
  <c r="X34" i="29"/>
  <c r="S34" i="29"/>
  <c r="R34" i="29"/>
  <c r="Q34" i="29"/>
  <c r="P34" i="29"/>
  <c r="L34" i="29"/>
  <c r="J34" i="29"/>
  <c r="I34" i="29"/>
  <c r="E34" i="29"/>
  <c r="AY32" i="29" a="1"/>
  <c r="AY32" i="29" s="1"/>
  <c r="AT32" i="29" a="1"/>
  <c r="AT32" i="29" s="1"/>
  <c r="AI32" i="29" a="1"/>
  <c r="AI32" i="29" s="1"/>
  <c r="AD32" i="29" a="1"/>
  <c r="AD32" i="29" s="1"/>
  <c r="S32" i="29" a="1"/>
  <c r="S32" i="29" s="1"/>
  <c r="N32" i="29" a="1"/>
  <c r="N32" i="29" s="1"/>
  <c r="CT31" i="29"/>
  <c r="CR31" i="29"/>
  <c r="CP31" i="29"/>
  <c r="CI31" i="29"/>
  <c r="CH31" i="29"/>
  <c r="CF31" i="29"/>
  <c r="BY31" i="29"/>
  <c r="BX31" i="29"/>
  <c r="BT31" i="29"/>
  <c r="BN31" i="29"/>
  <c r="BL31" i="29"/>
  <c r="BJ31" i="29"/>
  <c r="BB31" i="29"/>
  <c r="BA31" i="29"/>
  <c r="AY31" i="29"/>
  <c r="AR31" i="29"/>
  <c r="AQ31" i="29"/>
  <c r="AM31" i="29"/>
  <c r="AG31" i="29"/>
  <c r="AE31" i="29"/>
  <c r="AC31" i="29"/>
  <c r="V31" i="29"/>
  <c r="U31" i="29"/>
  <c r="S31" i="29"/>
  <c r="L31" i="29"/>
  <c r="J31" i="29"/>
  <c r="E31" i="29"/>
  <c r="BC29" i="29" a="1"/>
  <c r="BC29" i="29" s="1"/>
  <c r="AW29" i="29" a="1"/>
  <c r="AW29" i="29" s="1"/>
  <c r="AH29" i="29" a="1"/>
  <c r="AH29" i="29" s="1"/>
  <c r="AG29" i="29" a="1"/>
  <c r="AG29" i="29" s="1"/>
  <c r="AB29" i="29" a="1"/>
  <c r="AB29" i="29" s="1"/>
  <c r="L29" i="29"/>
  <c r="L29" i="29" a="1"/>
  <c r="CQ28" i="29"/>
  <c r="BL28" i="29"/>
  <c r="BK28" i="29"/>
  <c r="AX28" i="29"/>
  <c r="T28" i="29"/>
  <c r="R28" i="29"/>
  <c r="E28" i="29"/>
  <c r="BB26" i="29" a="1"/>
  <c r="BB26" i="29" s="1"/>
  <c r="BA26" i="29"/>
  <c r="BA26" i="29" a="1"/>
  <c r="AW26" i="29" a="1"/>
  <c r="AW26" i="29" s="1"/>
  <c r="AS26" i="29" a="1"/>
  <c r="AS26" i="29" s="1"/>
  <c r="AQ26" i="29" a="1"/>
  <c r="AQ26" i="29" s="1"/>
  <c r="AM26" i="29" a="1"/>
  <c r="AM26" i="29" s="1"/>
  <c r="AI26" i="29" a="1"/>
  <c r="AI26" i="29" s="1"/>
  <c r="AH26" i="29" a="1"/>
  <c r="AH26" i="29" s="1"/>
  <c r="AE26" i="29" a="1"/>
  <c r="AE26" i="29" s="1"/>
  <c r="AD26" i="29" a="1"/>
  <c r="AD26" i="29" s="1"/>
  <c r="Z26" i="29" a="1"/>
  <c r="Z26" i="29" s="1"/>
  <c r="Y26" i="29" a="1"/>
  <c r="Y26" i="29" s="1"/>
  <c r="V26" i="29" a="1"/>
  <c r="V26" i="29" s="1"/>
  <c r="U26" i="29"/>
  <c r="U26" i="29" a="1"/>
  <c r="Q26" i="29" a="1"/>
  <c r="Q26" i="29" s="1"/>
  <c r="M26" i="29" a="1"/>
  <c r="M26" i="29" s="1"/>
  <c r="J26" i="29" a="1"/>
  <c r="J26" i="29" s="1"/>
  <c r="CI25" i="29"/>
  <c r="AY25" i="29"/>
  <c r="AX25" i="29"/>
  <c r="AW25" i="29"/>
  <c r="AU25" i="29"/>
  <c r="AP25" i="29"/>
  <c r="AO25" i="29"/>
  <c r="AM25" i="29"/>
  <c r="AL25" i="29"/>
  <c r="AG25" i="29"/>
  <c r="AE25" i="29"/>
  <c r="AD25" i="29"/>
  <c r="AC25" i="29"/>
  <c r="W25" i="29"/>
  <c r="V25" i="29"/>
  <c r="U25" i="29"/>
  <c r="T25" i="29"/>
  <c r="N25" i="29"/>
  <c r="M25" i="29"/>
  <c r="L25" i="29"/>
  <c r="J25" i="29"/>
  <c r="E25" i="29"/>
  <c r="BD23" i="29" a="1"/>
  <c r="BD23" i="29" s="1"/>
  <c r="BC23" i="29" a="1"/>
  <c r="BC23" i="29" s="1"/>
  <c r="BB23" i="29"/>
  <c r="BB23" i="29" a="1"/>
  <c r="BA23" i="29" a="1"/>
  <c r="BA23" i="29" s="1"/>
  <c r="AX23" i="29" a="1"/>
  <c r="AX23" i="29" s="1"/>
  <c r="AW23" i="29" a="1"/>
  <c r="AW23" i="29" s="1"/>
  <c r="AV23" i="29" a="1"/>
  <c r="AV23" i="29" s="1"/>
  <c r="AU23" i="29" a="1"/>
  <c r="AU23" i="29" s="1"/>
  <c r="AT23" i="29" a="1"/>
  <c r="AT23" i="29" s="1"/>
  <c r="AS23" i="29" a="1"/>
  <c r="AS23" i="29" s="1"/>
  <c r="AR23" i="29" a="1"/>
  <c r="AR23" i="29" s="1"/>
  <c r="AO23" i="29" a="1"/>
  <c r="AO23" i="29" s="1"/>
  <c r="AN23" i="29" a="1"/>
  <c r="AN23" i="29" s="1"/>
  <c r="AM23" i="29" a="1"/>
  <c r="AM23" i="29" s="1"/>
  <c r="AL23" i="29" a="1"/>
  <c r="AL23" i="29" s="1"/>
  <c r="AJ23" i="29" a="1"/>
  <c r="AJ23" i="29" s="1"/>
  <c r="AI23" i="29" a="1"/>
  <c r="AI23" i="29" s="1"/>
  <c r="AG23" i="29" a="1"/>
  <c r="AG23" i="29" s="1"/>
  <c r="AF23" i="29" a="1"/>
  <c r="AF23" i="29" s="1"/>
  <c r="AE23" i="29"/>
  <c r="AE23" i="29" a="1"/>
  <c r="AD23" i="29" a="1"/>
  <c r="AD23" i="29" s="1"/>
  <c r="AC23" i="29" a="1"/>
  <c r="AC23" i="29" s="1"/>
  <c r="AB23" i="29" a="1"/>
  <c r="AB23" i="29" s="1"/>
  <c r="AA23" i="29" a="1"/>
  <c r="AA23" i="29" s="1"/>
  <c r="Z23" i="29"/>
  <c r="Z23" i="29" a="1"/>
  <c r="Y23" i="29" a="1"/>
  <c r="Y23" i="29" s="1"/>
  <c r="X23" i="29" a="1"/>
  <c r="X23" i="29" s="1"/>
  <c r="W23" i="29" a="1"/>
  <c r="W23" i="29" s="1"/>
  <c r="V23" i="29" a="1"/>
  <c r="V23" i="29" s="1"/>
  <c r="U23" i="29" a="1"/>
  <c r="U23" i="29" s="1"/>
  <c r="T23" i="29" a="1"/>
  <c r="T23" i="29" s="1"/>
  <c r="S23" i="29" a="1"/>
  <c r="S23" i="29" s="1"/>
  <c r="R23" i="29" a="1"/>
  <c r="R23" i="29" s="1"/>
  <c r="Q23" i="29" a="1"/>
  <c r="Q23" i="29" s="1"/>
  <c r="P23" i="29" a="1"/>
  <c r="P23" i="29" s="1"/>
  <c r="O23" i="29"/>
  <c r="O23" i="29" a="1"/>
  <c r="N23" i="29" a="1"/>
  <c r="N23" i="29" s="1"/>
  <c r="M23" i="29" a="1"/>
  <c r="M23" i="29" s="1"/>
  <c r="L23" i="29" a="1"/>
  <c r="L23" i="29" s="1"/>
  <c r="J23" i="29" a="1"/>
  <c r="J23" i="29" s="1"/>
  <c r="BD22" i="29"/>
  <c r="BC22" i="29"/>
  <c r="BB22" i="29"/>
  <c r="BA22" i="29"/>
  <c r="AZ22" i="29"/>
  <c r="AX22" i="29"/>
  <c r="AV22" i="29"/>
  <c r="AU22" i="29"/>
  <c r="AT22" i="29"/>
  <c r="AS22" i="29"/>
  <c r="AR22" i="29"/>
  <c r="AP22" i="29"/>
  <c r="AN22" i="29"/>
  <c r="AM22" i="29"/>
  <c r="AL22" i="29"/>
  <c r="AK22" i="29"/>
  <c r="AJ22" i="29"/>
  <c r="AH22" i="29"/>
  <c r="AF22" i="29"/>
  <c r="AE22" i="29"/>
  <c r="AD22" i="29"/>
  <c r="AC22" i="29"/>
  <c r="AB22" i="29"/>
  <c r="Z22" i="29"/>
  <c r="X22" i="29"/>
  <c r="W22" i="29"/>
  <c r="V22" i="29"/>
  <c r="U22" i="29"/>
  <c r="T22" i="29"/>
  <c r="R22" i="29"/>
  <c r="P22" i="29"/>
  <c r="O22" i="29"/>
  <c r="N22" i="29"/>
  <c r="M22" i="29"/>
  <c r="L22" i="29"/>
  <c r="I22" i="29"/>
  <c r="E22" i="29"/>
  <c r="BD20" i="29" a="1"/>
  <c r="BD20" i="29" s="1"/>
  <c r="AW20" i="29" a="1"/>
  <c r="AW20" i="29" s="1"/>
  <c r="AS20" i="29" a="1"/>
  <c r="AS20" i="29" s="1"/>
  <c r="AR20" i="29" a="1"/>
  <c r="AR20" i="29" s="1"/>
  <c r="AN20" i="29" a="1"/>
  <c r="AN20" i="29" s="1"/>
  <c r="AG20" i="29" a="1"/>
  <c r="AG20" i="29" s="1"/>
  <c r="AC20" i="29" a="1"/>
  <c r="AC20" i="29" s="1"/>
  <c r="AB20" i="29" a="1"/>
  <c r="AB20" i="29" s="1"/>
  <c r="X20" i="29" a="1"/>
  <c r="X20" i="29" s="1"/>
  <c r="Q20" i="29" a="1"/>
  <c r="Q20" i="29" s="1"/>
  <c r="M20" i="29"/>
  <c r="M20" i="29" a="1"/>
  <c r="L20" i="29" a="1"/>
  <c r="L20" i="29" s="1"/>
  <c r="BX19" i="29"/>
  <c r="BC19" i="29"/>
  <c r="BA19" i="29"/>
  <c r="AX19" i="29"/>
  <c r="AQ19" i="29"/>
  <c r="AP19" i="29"/>
  <c r="AN19" i="29"/>
  <c r="AG19" i="29"/>
  <c r="AF19" i="29"/>
  <c r="AC19" i="29"/>
  <c r="W19" i="29"/>
  <c r="U19" i="29"/>
  <c r="R19" i="29"/>
  <c r="J19" i="29"/>
  <c r="I19" i="29"/>
  <c r="E19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J17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J16" i="29"/>
  <c r="CX14" i="29"/>
  <c r="CW14" i="29"/>
  <c r="CV14" i="29"/>
  <c r="CU14" i="29"/>
  <c r="CT14" i="29"/>
  <c r="CS14" i="29"/>
  <c r="CR14" i="29"/>
  <c r="CQ14" i="29"/>
  <c r="CP14" i="29"/>
  <c r="CO14" i="29"/>
  <c r="CN14" i="29"/>
  <c r="CM14" i="29"/>
  <c r="CL14" i="29"/>
  <c r="CK14" i="29"/>
  <c r="CJ14" i="29"/>
  <c r="CI14" i="29"/>
  <c r="CH14" i="29"/>
  <c r="CG14" i="29"/>
  <c r="CF14" i="29"/>
  <c r="CE14" i="29"/>
  <c r="CD14" i="29"/>
  <c r="CC14" i="29"/>
  <c r="CB14" i="29"/>
  <c r="CA14" i="29"/>
  <c r="BZ14" i="29"/>
  <c r="BY14" i="29"/>
  <c r="BX14" i="29"/>
  <c r="BW14" i="29"/>
  <c r="BV14" i="29"/>
  <c r="BU14" i="29"/>
  <c r="BT14" i="29"/>
  <c r="BS14" i="29"/>
  <c r="BR14" i="29"/>
  <c r="BQ14" i="29"/>
  <c r="BP14" i="29"/>
  <c r="BO14" i="29"/>
  <c r="BN14" i="29"/>
  <c r="BM14" i="29"/>
  <c r="BL14" i="29"/>
  <c r="BK14" i="29"/>
  <c r="BJ14" i="29"/>
  <c r="BI14" i="29"/>
  <c r="BH14" i="29"/>
  <c r="BG14" i="29"/>
  <c r="BF14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CA13" i="29"/>
  <c r="BZ13" i="29"/>
  <c r="BY13" i="29"/>
  <c r="BX13" i="29"/>
  <c r="BW13" i="29"/>
  <c r="BV13" i="29"/>
  <c r="BU13" i="29"/>
  <c r="BT13" i="29"/>
  <c r="BS13" i="29"/>
  <c r="BR13" i="29"/>
  <c r="BQ13" i="29"/>
  <c r="BP13" i="29"/>
  <c r="BO13" i="29"/>
  <c r="BN13" i="29"/>
  <c r="BN19" i="29" s="1"/>
  <c r="BM13" i="29"/>
  <c r="BL13" i="29"/>
  <c r="BK13" i="29"/>
  <c r="BJ13" i="29"/>
  <c r="BI13" i="29"/>
  <c r="BH13" i="29"/>
  <c r="BG13" i="29"/>
  <c r="BF13" i="29"/>
  <c r="CX12" i="29"/>
  <c r="CW12" i="29"/>
  <c r="CV12" i="29"/>
  <c r="CU12" i="29"/>
  <c r="CT12" i="29"/>
  <c r="CT25" i="29" s="1"/>
  <c r="CS12" i="29"/>
  <c r="CR12" i="29"/>
  <c r="CR25" i="29" s="1"/>
  <c r="CQ12" i="29"/>
  <c r="CQ25" i="29" s="1"/>
  <c r="CP12" i="29"/>
  <c r="CP25" i="29" s="1"/>
  <c r="CO12" i="29"/>
  <c r="CN12" i="29"/>
  <c r="CM12" i="29"/>
  <c r="CL12" i="29"/>
  <c r="CK12" i="29"/>
  <c r="CJ12" i="29"/>
  <c r="CJ25" i="29" s="1"/>
  <c r="CI12" i="29"/>
  <c r="CH12" i="29"/>
  <c r="CH25" i="29" s="1"/>
  <c r="CG12" i="29"/>
  <c r="CG25" i="29" s="1"/>
  <c r="CF12" i="29"/>
  <c r="CE12" i="29"/>
  <c r="CD12" i="29"/>
  <c r="CC12" i="29"/>
  <c r="CB12" i="29"/>
  <c r="CA12" i="29"/>
  <c r="CA25" i="29" s="1"/>
  <c r="BZ12" i="29"/>
  <c r="BZ25" i="29" s="1"/>
  <c r="BY12" i="29"/>
  <c r="BY25" i="29" s="1"/>
  <c r="BX12" i="29"/>
  <c r="BX25" i="29" s="1"/>
  <c r="BW12" i="29"/>
  <c r="BV12" i="29"/>
  <c r="BU12" i="29"/>
  <c r="BT12" i="29"/>
  <c r="BS12" i="29"/>
  <c r="BR12" i="29"/>
  <c r="BR25" i="29" s="1"/>
  <c r="BQ12" i="29"/>
  <c r="BQ25" i="29" s="1"/>
  <c r="BP12" i="29"/>
  <c r="BP25" i="29" s="1"/>
  <c r="BO12" i="29"/>
  <c r="BO25" i="29" s="1"/>
  <c r="BN12" i="29"/>
  <c r="BM12" i="29"/>
  <c r="BL12" i="29"/>
  <c r="BK12" i="29"/>
  <c r="BJ12" i="29"/>
  <c r="BI12" i="29"/>
  <c r="BI25" i="29" s="1"/>
  <c r="BH12" i="29"/>
  <c r="BH25" i="29" s="1"/>
  <c r="BG12" i="29"/>
  <c r="BG25" i="29" s="1"/>
  <c r="BF12" i="29"/>
  <c r="BF25" i="29" s="1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CA11" i="29"/>
  <c r="BZ11" i="29"/>
  <c r="BY11" i="29"/>
  <c r="BX11" i="29"/>
  <c r="BW11" i="29"/>
  <c r="BV11" i="29"/>
  <c r="BU11" i="29"/>
  <c r="BT11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CX10" i="29"/>
  <c r="CW10" i="29"/>
  <c r="CV10" i="29"/>
  <c r="CU10" i="29"/>
  <c r="CT10" i="29"/>
  <c r="CT19" i="29" s="1"/>
  <c r="CS10" i="29"/>
  <c r="CS19" i="29" s="1"/>
  <c r="CR10" i="29"/>
  <c r="CQ10" i="29"/>
  <c r="CP10" i="29"/>
  <c r="CP19" i="29" s="1"/>
  <c r="CO10" i="29"/>
  <c r="CN10" i="29"/>
  <c r="CM10" i="29"/>
  <c r="CL10" i="29"/>
  <c r="CK10" i="29"/>
  <c r="CJ10" i="29"/>
  <c r="CJ19" i="29" s="1"/>
  <c r="CI10" i="29"/>
  <c r="CH10" i="29"/>
  <c r="CH19" i="29" s="1"/>
  <c r="CG10" i="29"/>
  <c r="CF10" i="29"/>
  <c r="CE10" i="29"/>
  <c r="CE19" i="29" s="1"/>
  <c r="CD10" i="29"/>
  <c r="CC10" i="29"/>
  <c r="CB10" i="29"/>
  <c r="CA10" i="29"/>
  <c r="BZ10" i="29"/>
  <c r="BY10" i="29"/>
  <c r="BX10" i="29"/>
  <c r="BW10" i="29"/>
  <c r="BW19" i="29" s="1"/>
  <c r="BV10" i="29"/>
  <c r="BU10" i="29"/>
  <c r="BT10" i="29"/>
  <c r="BS10" i="29"/>
  <c r="BR10" i="29"/>
  <c r="BQ10" i="29"/>
  <c r="BP10" i="29"/>
  <c r="BO10" i="29"/>
  <c r="BN10" i="29"/>
  <c r="BM10" i="29"/>
  <c r="BM19" i="29" s="1"/>
  <c r="BL10" i="29"/>
  <c r="BK10" i="29"/>
  <c r="BJ10" i="29"/>
  <c r="BJ19" i="29" s="1"/>
  <c r="BI10" i="29"/>
  <c r="BH10" i="29"/>
  <c r="BG10" i="29"/>
  <c r="BF10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CA9" i="29"/>
  <c r="BZ9" i="29"/>
  <c r="BY9" i="29"/>
  <c r="BX9" i="29"/>
  <c r="BW9" i="29"/>
  <c r="BV9" i="29"/>
  <c r="BU9" i="29"/>
  <c r="BT9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CA8" i="29"/>
  <c r="BZ8" i="29"/>
  <c r="BY8" i="29"/>
  <c r="BX8" i="29"/>
  <c r="BW8" i="29"/>
  <c r="BV8" i="29"/>
  <c r="BU8" i="29"/>
  <c r="BT8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CA7" i="29"/>
  <c r="BZ7" i="29"/>
  <c r="BY7" i="29"/>
  <c r="BX7" i="29"/>
  <c r="BW7" i="29"/>
  <c r="BV7" i="29"/>
  <c r="BU7" i="29"/>
  <c r="BT7" i="29"/>
  <c r="BS7" i="29"/>
  <c r="BR7" i="29"/>
  <c r="BQ7" i="29"/>
  <c r="BP7" i="29"/>
  <c r="BO7" i="29"/>
  <c r="BN7" i="29"/>
  <c r="BM7" i="29"/>
  <c r="BL7" i="29"/>
  <c r="BK7" i="29"/>
  <c r="BJ7" i="29"/>
  <c r="BI7" i="29"/>
  <c r="BH7" i="29"/>
  <c r="BG7" i="29"/>
  <c r="BF7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CA6" i="29"/>
  <c r="BZ6" i="29"/>
  <c r="BY6" i="29"/>
  <c r="BY22" i="29" s="1"/>
  <c r="BX6" i="29"/>
  <c r="BW6" i="29"/>
  <c r="BV6" i="29"/>
  <c r="BU6" i="29"/>
  <c r="BT6" i="29"/>
  <c r="BS6" i="29"/>
  <c r="BR6" i="29"/>
  <c r="BQ6" i="29"/>
  <c r="BP6" i="29"/>
  <c r="BO6" i="29"/>
  <c r="BN6" i="29"/>
  <c r="BM6" i="29"/>
  <c r="BL6" i="29"/>
  <c r="BK6" i="29"/>
  <c r="BJ6" i="29"/>
  <c r="BI6" i="29"/>
  <c r="BH6" i="29"/>
  <c r="BG6" i="29"/>
  <c r="BF6" i="29"/>
  <c r="CX5" i="29"/>
  <c r="CW5" i="29"/>
  <c r="CV5" i="29"/>
  <c r="CV16" i="29" s="1"/>
  <c r="CU5" i="29"/>
  <c r="CT5" i="29"/>
  <c r="CS5" i="29"/>
  <c r="CR5" i="29"/>
  <c r="CQ5" i="29"/>
  <c r="CP5" i="29"/>
  <c r="CP17" i="29" s="1"/>
  <c r="CO5" i="29"/>
  <c r="CO20" i="29" s="1" a="1"/>
  <c r="CO20" i="29" s="1"/>
  <c r="CN5" i="29"/>
  <c r="CM5" i="29"/>
  <c r="CM17" i="29" s="1"/>
  <c r="CL5" i="29"/>
  <c r="CK5" i="29"/>
  <c r="CK20" i="29" s="1" a="1"/>
  <c r="CK20" i="29" s="1"/>
  <c r="CJ5" i="29"/>
  <c r="CI5" i="29"/>
  <c r="CI22" i="29" s="1"/>
  <c r="CH5" i="29"/>
  <c r="CG5" i="29"/>
  <c r="CF5" i="29"/>
  <c r="CE5" i="29"/>
  <c r="CD5" i="29"/>
  <c r="CD44" i="29" s="1" a="1"/>
  <c r="CD44" i="29" s="1"/>
  <c r="CC5" i="29"/>
  <c r="CB5" i="29"/>
  <c r="CA5" i="29"/>
  <c r="BZ5" i="29"/>
  <c r="BZ22" i="29" s="1"/>
  <c r="BY5" i="29"/>
  <c r="BY29" i="29" s="1" a="1"/>
  <c r="BY29" i="29" s="1"/>
  <c r="BX5" i="29"/>
  <c r="BW5" i="29"/>
  <c r="BV5" i="29"/>
  <c r="BU5" i="29"/>
  <c r="BU16" i="29" s="1"/>
  <c r="BT5" i="29"/>
  <c r="BT29" i="29" s="1" a="1"/>
  <c r="BT29" i="29" s="1"/>
  <c r="BS5" i="29"/>
  <c r="BR5" i="29"/>
  <c r="BQ5" i="29"/>
  <c r="BQ23" i="29" s="1" a="1"/>
  <c r="BQ23" i="29" s="1"/>
  <c r="BP5" i="29"/>
  <c r="BO5" i="29"/>
  <c r="BN5" i="29"/>
  <c r="BM5" i="29"/>
  <c r="BL5" i="29"/>
  <c r="BK5" i="29"/>
  <c r="BK17" i="29" s="1"/>
  <c r="BJ5" i="29"/>
  <c r="BJ17" i="29" s="1"/>
  <c r="BI5" i="29"/>
  <c r="BH5" i="29"/>
  <c r="BG5" i="29"/>
  <c r="BF5" i="29"/>
  <c r="CP4" i="29"/>
  <c r="BZ4" i="29"/>
  <c r="BN4" i="29"/>
  <c r="BI4" i="29"/>
  <c r="BD4" i="29"/>
  <c r="CX4" i="29" s="1"/>
  <c r="BC4" i="29"/>
  <c r="CW4" i="29" s="1"/>
  <c r="BB4" i="29"/>
  <c r="CV4" i="29" s="1"/>
  <c r="BA4" i="29"/>
  <c r="CU4" i="29" s="1"/>
  <c r="AZ4" i="29"/>
  <c r="CT4" i="29" s="1"/>
  <c r="AY4" i="29"/>
  <c r="CS4" i="29" s="1"/>
  <c r="AX4" i="29"/>
  <c r="CR4" i="29" s="1"/>
  <c r="AW4" i="29"/>
  <c r="CQ4" i="29" s="1"/>
  <c r="AV4" i="29"/>
  <c r="AU4" i="29"/>
  <c r="CO4" i="29" s="1"/>
  <c r="AT4" i="29"/>
  <c r="CN4" i="29" s="1"/>
  <c r="AS4" i="29"/>
  <c r="CM4" i="29" s="1"/>
  <c r="AR4" i="29"/>
  <c r="CL4" i="29" s="1"/>
  <c r="AQ4" i="29"/>
  <c r="CK4" i="29" s="1"/>
  <c r="AP4" i="29"/>
  <c r="CJ4" i="29" s="1"/>
  <c r="AO4" i="29"/>
  <c r="CI4" i="29" s="1"/>
  <c r="AN4" i="29"/>
  <c r="CH4" i="29" s="1"/>
  <c r="AM4" i="29"/>
  <c r="CG4" i="29" s="1"/>
  <c r="AL4" i="29"/>
  <c r="CF4" i="29" s="1"/>
  <c r="AK4" i="29"/>
  <c r="CE4" i="29" s="1"/>
  <c r="AJ4" i="29"/>
  <c r="CD4" i="29" s="1"/>
  <c r="AI4" i="29"/>
  <c r="CC4" i="29" s="1"/>
  <c r="AH4" i="29"/>
  <c r="CB4" i="29" s="1"/>
  <c r="AG4" i="29"/>
  <c r="CA4" i="29" s="1"/>
  <c r="AF4" i="29"/>
  <c r="AE4" i="29"/>
  <c r="BY4" i="29" s="1"/>
  <c r="AD4" i="29"/>
  <c r="BX4" i="29" s="1"/>
  <c r="AC4" i="29"/>
  <c r="BW4" i="29" s="1"/>
  <c r="AB4" i="29"/>
  <c r="BV4" i="29" s="1"/>
  <c r="AA4" i="29"/>
  <c r="BU4" i="29" s="1"/>
  <c r="Z4" i="29"/>
  <c r="BT4" i="29" s="1"/>
  <c r="Y4" i="29"/>
  <c r="BS4" i="29" s="1"/>
  <c r="X4" i="29"/>
  <c r="BR4" i="29" s="1"/>
  <c r="W4" i="29"/>
  <c r="BQ4" i="29" s="1"/>
  <c r="V4" i="29"/>
  <c r="BP4" i="29" s="1"/>
  <c r="U4" i="29"/>
  <c r="BO4" i="29" s="1"/>
  <c r="T4" i="29"/>
  <c r="S4" i="29"/>
  <c r="BM4" i="29" s="1"/>
  <c r="R4" i="29"/>
  <c r="BL4" i="29" s="1"/>
  <c r="Q4" i="29"/>
  <c r="BK4" i="29" s="1"/>
  <c r="P4" i="29"/>
  <c r="BJ4" i="29" s="1"/>
  <c r="O4" i="29"/>
  <c r="N4" i="29"/>
  <c r="BH4" i="29" s="1"/>
  <c r="M4" i="29"/>
  <c r="BG4" i="29" s="1"/>
  <c r="L4" i="29"/>
  <c r="BF4" i="29" s="1"/>
  <c r="CX3" i="29"/>
  <c r="CW3" i="29"/>
  <c r="CV3" i="29"/>
  <c r="CU3" i="29"/>
  <c r="CT3" i="29"/>
  <c r="CS3" i="29"/>
  <c r="CR3" i="29"/>
  <c r="CQ3" i="29"/>
  <c r="CP3" i="29"/>
  <c r="CO3" i="29"/>
  <c r="CN3" i="29"/>
  <c r="CM3" i="29"/>
  <c r="CL3" i="29"/>
  <c r="CK3" i="29"/>
  <c r="CJ3" i="29"/>
  <c r="CI3" i="29"/>
  <c r="CH3" i="29"/>
  <c r="CG3" i="29"/>
  <c r="CF3" i="29"/>
  <c r="CE3" i="29"/>
  <c r="CD3" i="29"/>
  <c r="CC3" i="29"/>
  <c r="CB3" i="29"/>
  <c r="CA3" i="29"/>
  <c r="BZ3" i="29"/>
  <c r="BY3" i="29"/>
  <c r="BX3" i="29"/>
  <c r="BW3" i="29"/>
  <c r="BV3" i="29"/>
  <c r="BU3" i="29"/>
  <c r="BT3" i="29"/>
  <c r="BS3" i="29"/>
  <c r="BR3" i="29"/>
  <c r="BQ3" i="29"/>
  <c r="BP3" i="29"/>
  <c r="BO3" i="29"/>
  <c r="BN3" i="29"/>
  <c r="BM3" i="29"/>
  <c r="BL3" i="29"/>
  <c r="BK3" i="29"/>
  <c r="BJ3" i="29"/>
  <c r="BI3" i="29"/>
  <c r="BH3" i="29"/>
  <c r="BG3" i="29"/>
  <c r="BF3" i="29"/>
  <c r="BJ49" i="28" a="1"/>
  <c r="BJ49" i="28" s="1"/>
  <c r="CY48" i="28"/>
  <c r="CX48" i="28"/>
  <c r="CG48" i="28"/>
  <c r="CF48" i="28"/>
  <c r="BN48" i="28"/>
  <c r="BL48" i="28"/>
  <c r="AU48" i="28"/>
  <c r="AT48" i="28"/>
  <c r="AE48" i="28"/>
  <c r="AD48" i="28"/>
  <c r="M48" i="28"/>
  <c r="J48" i="28"/>
  <c r="E48" i="28"/>
  <c r="X46" i="28" a="1"/>
  <c r="X46" i="28" s="1"/>
  <c r="T46" i="28" a="1"/>
  <c r="T46" i="28" s="1"/>
  <c r="DJ45" i="28"/>
  <c r="DI45" i="28"/>
  <c r="DH45" i="28"/>
  <c r="DG45" i="28"/>
  <c r="DF45" i="28"/>
  <c r="DB45" i="28"/>
  <c r="DA45" i="28"/>
  <c r="CZ45" i="28"/>
  <c r="CY45" i="28"/>
  <c r="CX45" i="28"/>
  <c r="CT45" i="28"/>
  <c r="CS45" i="28"/>
  <c r="CR45" i="28"/>
  <c r="CQ45" i="28"/>
  <c r="CP45" i="28"/>
  <c r="CL45" i="28"/>
  <c r="CK45" i="28"/>
  <c r="CJ45" i="28"/>
  <c r="CI45" i="28"/>
  <c r="CH45" i="28"/>
  <c r="CD45" i="28"/>
  <c r="CC45" i="28"/>
  <c r="CB45" i="28"/>
  <c r="CA45" i="28"/>
  <c r="BZ45" i="28"/>
  <c r="BV45" i="28"/>
  <c r="BU45" i="28"/>
  <c r="BT45" i="28"/>
  <c r="BS45" i="28"/>
  <c r="BR45" i="28"/>
  <c r="BM45" i="28"/>
  <c r="BL45" i="28"/>
  <c r="BK45" i="28"/>
  <c r="BJ45" i="28"/>
  <c r="BI45" i="28"/>
  <c r="BE45" i="28"/>
  <c r="BD45" i="28"/>
  <c r="BC45" i="28"/>
  <c r="BB45" i="28"/>
  <c r="BA45" i="28"/>
  <c r="AW45" i="28"/>
  <c r="AV45" i="28"/>
  <c r="AU45" i="28"/>
  <c r="AT45" i="28"/>
  <c r="AS45" i="28"/>
  <c r="AO45" i="28"/>
  <c r="AN45" i="28"/>
  <c r="AM45" i="28"/>
  <c r="AL45" i="28"/>
  <c r="AK45" i="28"/>
  <c r="AG45" i="28"/>
  <c r="AF45" i="28"/>
  <c r="AE45" i="28"/>
  <c r="AD45" i="28"/>
  <c r="AC45" i="28"/>
  <c r="Y45" i="28"/>
  <c r="X45" i="28"/>
  <c r="W45" i="28"/>
  <c r="U45" i="28"/>
  <c r="T45" i="28"/>
  <c r="O45" i="28"/>
  <c r="N45" i="28"/>
  <c r="M45" i="28"/>
  <c r="J45" i="28"/>
  <c r="I45" i="28"/>
  <c r="E45" i="28"/>
  <c r="DE45" i="28" s="1"/>
  <c r="X43" i="28" a="1"/>
  <c r="X43" i="28" s="1"/>
  <c r="T43" i="28" a="1"/>
  <c r="T43" i="28" s="1"/>
  <c r="DK42" i="28"/>
  <c r="DJ42" i="28"/>
  <c r="DI42" i="28"/>
  <c r="DH42" i="28"/>
  <c r="DG42" i="28"/>
  <c r="DF42" i="28"/>
  <c r="DC42" i="28"/>
  <c r="DB42" i="28"/>
  <c r="DA42" i="28"/>
  <c r="CZ42" i="28"/>
  <c r="CY42" i="28"/>
  <c r="CX42" i="28"/>
  <c r="CU42" i="28"/>
  <c r="CT42" i="28"/>
  <c r="CS42" i="28"/>
  <c r="CR42" i="28"/>
  <c r="CQ42" i="28"/>
  <c r="CP42" i="28"/>
  <c r="CM42" i="28"/>
  <c r="CL42" i="28"/>
  <c r="CK42" i="28"/>
  <c r="CJ42" i="28"/>
  <c r="CI42" i="28"/>
  <c r="CH42" i="28"/>
  <c r="CE42" i="28"/>
  <c r="CD42" i="28"/>
  <c r="CC42" i="28"/>
  <c r="CB42" i="28"/>
  <c r="CA42" i="28"/>
  <c r="BZ42" i="28"/>
  <c r="BW42" i="28"/>
  <c r="BV42" i="28"/>
  <c r="BU42" i="28"/>
  <c r="BT42" i="28"/>
  <c r="BS42" i="28"/>
  <c r="BR42" i="28"/>
  <c r="BN42" i="28"/>
  <c r="BM42" i="28"/>
  <c r="BL42" i="28"/>
  <c r="BK42" i="28"/>
  <c r="BJ42" i="28"/>
  <c r="BI42" i="28"/>
  <c r="BF42" i="28"/>
  <c r="BE42" i="28"/>
  <c r="BD42" i="28"/>
  <c r="BC42" i="28"/>
  <c r="BB42" i="28"/>
  <c r="BA42" i="28"/>
  <c r="AX42" i="28"/>
  <c r="AW42" i="28"/>
  <c r="AV42" i="28"/>
  <c r="AU42" i="28"/>
  <c r="AT42" i="28"/>
  <c r="AS42" i="28"/>
  <c r="AP42" i="28"/>
  <c r="AO42" i="28"/>
  <c r="AN42" i="28"/>
  <c r="AM42" i="28"/>
  <c r="AL42" i="28"/>
  <c r="AK42" i="28"/>
  <c r="AH42" i="28"/>
  <c r="AG42" i="28"/>
  <c r="AF42" i="28"/>
  <c r="AE42" i="28"/>
  <c r="AD42" i="28"/>
  <c r="AC42" i="28"/>
  <c r="Z42" i="28"/>
  <c r="Y42" i="28"/>
  <c r="X42" i="28"/>
  <c r="W42" i="28"/>
  <c r="U42" i="28"/>
  <c r="T42" i="28"/>
  <c r="P42" i="28"/>
  <c r="O42" i="28"/>
  <c r="N42" i="28"/>
  <c r="M42" i="28"/>
  <c r="J42" i="28"/>
  <c r="I42" i="28"/>
  <c r="E42" i="28"/>
  <c r="X40" i="28"/>
  <c r="X40" i="28" a="1"/>
  <c r="U40" i="28" a="1"/>
  <c r="U40" i="28" s="1"/>
  <c r="T40" i="28"/>
  <c r="T40" i="28" a="1"/>
  <c r="P40" i="28" a="1"/>
  <c r="P40" i="28" s="1"/>
  <c r="J40" i="28" a="1"/>
  <c r="J40" i="28" s="1"/>
  <c r="DK39" i="28"/>
  <c r="DJ39" i="28"/>
  <c r="DI39" i="28"/>
  <c r="DH39" i="28"/>
  <c r="DG39" i="28"/>
  <c r="DF39" i="28"/>
  <c r="DD39" i="28"/>
  <c r="DC39" i="28"/>
  <c r="DB39" i="28"/>
  <c r="DA39" i="28"/>
  <c r="CZ39" i="28"/>
  <c r="CY39" i="28"/>
  <c r="CX39" i="28"/>
  <c r="CV39" i="28"/>
  <c r="CU39" i="28"/>
  <c r="CT39" i="28"/>
  <c r="CS39" i="28"/>
  <c r="CR39" i="28"/>
  <c r="CQ39" i="28"/>
  <c r="CP39" i="28"/>
  <c r="CN39" i="28"/>
  <c r="CM39" i="28"/>
  <c r="CL39" i="28"/>
  <c r="CK39" i="28"/>
  <c r="CJ39" i="28"/>
  <c r="CI39" i="28"/>
  <c r="CH39" i="28"/>
  <c r="CF39" i="28"/>
  <c r="CE39" i="28"/>
  <c r="CD39" i="28"/>
  <c r="CC39" i="28"/>
  <c r="CB39" i="28"/>
  <c r="CA39" i="28"/>
  <c r="BZ39" i="28"/>
  <c r="BX39" i="28"/>
  <c r="BW39" i="28"/>
  <c r="BV39" i="28"/>
  <c r="BU39" i="28"/>
  <c r="BT39" i="28"/>
  <c r="BS39" i="28"/>
  <c r="BR39" i="28"/>
  <c r="BO39" i="28"/>
  <c r="BN39" i="28"/>
  <c r="BM39" i="28"/>
  <c r="BL39" i="28"/>
  <c r="BK39" i="28"/>
  <c r="BJ39" i="28"/>
  <c r="BI39" i="28"/>
  <c r="BG39" i="28"/>
  <c r="BF39" i="28"/>
  <c r="BE39" i="28"/>
  <c r="BD39" i="28"/>
  <c r="BC39" i="28"/>
  <c r="BB39" i="28"/>
  <c r="BA39" i="28"/>
  <c r="AY39" i="28"/>
  <c r="AX39" i="28"/>
  <c r="AW39" i="28"/>
  <c r="AV39" i="28"/>
  <c r="AU39" i="28"/>
  <c r="AT39" i="28"/>
  <c r="AS39" i="28"/>
  <c r="AQ39" i="28"/>
  <c r="AP39" i="28"/>
  <c r="AO39" i="28"/>
  <c r="AN39" i="28"/>
  <c r="AM39" i="28"/>
  <c r="AL39" i="28"/>
  <c r="AK39" i="28"/>
  <c r="AI39" i="28"/>
  <c r="AH39" i="28"/>
  <c r="AG39" i="28"/>
  <c r="AF39" i="28"/>
  <c r="AE39" i="28"/>
  <c r="AD39" i="28"/>
  <c r="AC39" i="28"/>
  <c r="AA39" i="28"/>
  <c r="Z39" i="28"/>
  <c r="Y39" i="28"/>
  <c r="X39" i="28"/>
  <c r="W39" i="28"/>
  <c r="U39" i="28"/>
  <c r="T39" i="28"/>
  <c r="Q39" i="28"/>
  <c r="P39" i="28"/>
  <c r="O39" i="28"/>
  <c r="N39" i="28"/>
  <c r="M39" i="28"/>
  <c r="J39" i="28"/>
  <c r="I39" i="28"/>
  <c r="E39" i="28"/>
  <c r="DE39" i="28" s="1"/>
  <c r="T37" i="28" a="1"/>
  <c r="T37" i="28" s="1"/>
  <c r="DK36" i="28"/>
  <c r="DA36" i="28"/>
  <c r="CS36" i="28"/>
  <c r="CR36" i="28"/>
  <c r="CO36" i="28"/>
  <c r="CA36" i="28"/>
  <c r="BW36" i="28"/>
  <c r="BP36" i="28"/>
  <c r="BO36" i="28"/>
  <c r="BD36" i="28"/>
  <c r="AW36" i="28"/>
  <c r="AU36" i="28"/>
  <c r="AO36" i="28"/>
  <c r="AE36" i="28"/>
  <c r="W36" i="28"/>
  <c r="U36" i="28"/>
  <c r="Q36" i="28"/>
  <c r="E36" i="28"/>
  <c r="AF34" i="28" a="1"/>
  <c r="AF34" i="28" s="1"/>
  <c r="X34" i="28" a="1"/>
  <c r="X34" i="28" s="1"/>
  <c r="U34" i="28" a="1"/>
  <c r="U34" i="28" s="1"/>
  <c r="T34" i="28" a="1"/>
  <c r="T34" i="28" s="1"/>
  <c r="P34" i="28" a="1"/>
  <c r="P34" i="28" s="1"/>
  <c r="J34" i="28" a="1"/>
  <c r="J34" i="28" s="1"/>
  <c r="DK33" i="28"/>
  <c r="DJ33" i="28"/>
  <c r="DI33" i="28"/>
  <c r="DH33" i="28"/>
  <c r="DG33" i="28"/>
  <c r="DF33" i="28"/>
  <c r="DD33" i="28"/>
  <c r="DC33" i="28"/>
  <c r="DB33" i="28"/>
  <c r="DA33" i="28"/>
  <c r="CZ33" i="28"/>
  <c r="CY33" i="28"/>
  <c r="CX33" i="28"/>
  <c r="CV33" i="28"/>
  <c r="CU33" i="28"/>
  <c r="CT33" i="28"/>
  <c r="CS33" i="28"/>
  <c r="CR33" i="28"/>
  <c r="CQ33" i="28"/>
  <c r="CP33" i="28"/>
  <c r="CN33" i="28"/>
  <c r="CM33" i="28"/>
  <c r="CL33" i="28"/>
  <c r="CK33" i="28"/>
  <c r="CJ33" i="28"/>
  <c r="CI33" i="28"/>
  <c r="CH33" i="28"/>
  <c r="CF33" i="28"/>
  <c r="CE33" i="28"/>
  <c r="CD33" i="28"/>
  <c r="CC33" i="28"/>
  <c r="CB33" i="28"/>
  <c r="CA33" i="28"/>
  <c r="BZ33" i="28"/>
  <c r="BX33" i="28"/>
  <c r="BW33" i="28"/>
  <c r="BV33" i="28"/>
  <c r="BU33" i="28"/>
  <c r="BT33" i="28"/>
  <c r="BS33" i="28"/>
  <c r="BR33" i="28"/>
  <c r="BO33" i="28"/>
  <c r="BN33" i="28"/>
  <c r="BM33" i="28"/>
  <c r="BL33" i="28"/>
  <c r="BK33" i="28"/>
  <c r="BJ33" i="28"/>
  <c r="BI33" i="28"/>
  <c r="BG33" i="28"/>
  <c r="BF33" i="28"/>
  <c r="BE33" i="28"/>
  <c r="BD33" i="28"/>
  <c r="BC33" i="28"/>
  <c r="BB33" i="28"/>
  <c r="BA33" i="28"/>
  <c r="AY33" i="28"/>
  <c r="AX33" i="28"/>
  <c r="AW33" i="28"/>
  <c r="AV33" i="28"/>
  <c r="AU33" i="28"/>
  <c r="AT33" i="28"/>
  <c r="AS33" i="28"/>
  <c r="AQ33" i="28"/>
  <c r="AP33" i="28"/>
  <c r="AO33" i="28"/>
  <c r="AN33" i="28"/>
  <c r="AM33" i="28"/>
  <c r="AL33" i="28"/>
  <c r="AK33" i="28"/>
  <c r="AI33" i="28"/>
  <c r="AH33" i="28"/>
  <c r="AG33" i="28"/>
  <c r="AF33" i="28"/>
  <c r="AE33" i="28"/>
  <c r="AD33" i="28"/>
  <c r="AC33" i="28"/>
  <c r="AA33" i="28"/>
  <c r="Z33" i="28"/>
  <c r="Y33" i="28"/>
  <c r="X33" i="28"/>
  <c r="W33" i="28"/>
  <c r="U33" i="28"/>
  <c r="T33" i="28"/>
  <c r="Q33" i="28"/>
  <c r="P33" i="28"/>
  <c r="O33" i="28"/>
  <c r="N33" i="28"/>
  <c r="M33" i="28"/>
  <c r="J33" i="28"/>
  <c r="I33" i="28"/>
  <c r="E33" i="28"/>
  <c r="X31" i="28" a="1"/>
  <c r="X31" i="28" s="1"/>
  <c r="T31" i="28" a="1"/>
  <c r="T31" i="28" s="1"/>
  <c r="J31" i="28" a="1"/>
  <c r="J31" i="28" s="1"/>
  <c r="BP30" i="28"/>
  <c r="BL30" i="28"/>
  <c r="BK30" i="28"/>
  <c r="BJ30" i="28"/>
  <c r="BH30" i="28"/>
  <c r="BE30" i="28"/>
  <c r="BB30" i="28"/>
  <c r="AY30" i="28"/>
  <c r="AW30" i="28"/>
  <c r="AU30" i="28"/>
  <c r="AR30" i="28"/>
  <c r="AQ30" i="28"/>
  <c r="AN30" i="28"/>
  <c r="AJ30" i="28"/>
  <c r="AG30" i="28"/>
  <c r="AF30" i="28"/>
  <c r="AE30" i="28"/>
  <c r="AD30" i="28"/>
  <c r="U30" i="28"/>
  <c r="E30" i="28"/>
  <c r="AG31" i="28" s="1" a="1"/>
  <c r="AG31" i="28" s="1"/>
  <c r="CF28" i="28" a="1"/>
  <c r="CF28" i="28" s="1"/>
  <c r="BO28" i="28" a="1"/>
  <c r="BO28" i="28" s="1"/>
  <c r="BJ28" i="28" a="1"/>
  <c r="BJ28" i="28" s="1"/>
  <c r="BI28" i="28" a="1"/>
  <c r="BI28" i="28" s="1"/>
  <c r="BC28" i="28" a="1"/>
  <c r="BC28" i="28" s="1"/>
  <c r="AR28" i="28" a="1"/>
  <c r="AR28" i="28" s="1"/>
  <c r="AL28" i="28" a="1"/>
  <c r="AL28" i="28" s="1"/>
  <c r="AK28" i="28" a="1"/>
  <c r="AK28" i="28" s="1"/>
  <c r="AD28" i="28" a="1"/>
  <c r="AD28" i="28" s="1"/>
  <c r="J28" i="28" a="1"/>
  <c r="J28" i="28" s="1"/>
  <c r="DI27" i="28"/>
  <c r="DB27" i="28"/>
  <c r="CZ27" i="28"/>
  <c r="CS27" i="28"/>
  <c r="CP27" i="28"/>
  <c r="CJ27" i="28"/>
  <c r="CG27" i="28"/>
  <c r="BZ27" i="28"/>
  <c r="BX27" i="28"/>
  <c r="BP27" i="28"/>
  <c r="BN27" i="28"/>
  <c r="BG27" i="28"/>
  <c r="BE27" i="28"/>
  <c r="AX27" i="28"/>
  <c r="AV27" i="28"/>
  <c r="AO27" i="28"/>
  <c r="AM27" i="28"/>
  <c r="AF27" i="28"/>
  <c r="AC27" i="28"/>
  <c r="W27" i="28"/>
  <c r="R27" i="28"/>
  <c r="I27" i="28"/>
  <c r="E27" i="28"/>
  <c r="AT24" i="28" a="1"/>
  <c r="AT24" i="28" s="1"/>
  <c r="W24" i="28" a="1"/>
  <c r="W24" i="28" s="1"/>
  <c r="P24" i="28" a="1"/>
  <c r="P24" i="28" s="1"/>
  <c r="J24" i="28" a="1"/>
  <c r="J24" i="28" s="1"/>
  <c r="DP23" i="28"/>
  <c r="DN23" i="28"/>
  <c r="DM23" i="28"/>
  <c r="BJ23" i="28"/>
  <c r="AR23" i="28"/>
  <c r="AI23" i="28"/>
  <c r="Y23" i="28"/>
  <c r="X23" i="28"/>
  <c r="U23" i="28"/>
  <c r="I23" i="28"/>
  <c r="E23" i="28"/>
  <c r="DV21" i="28"/>
  <c r="DV23" i="28" s="1"/>
  <c r="DU21" i="28"/>
  <c r="DT21" i="28"/>
  <c r="DT23" i="28" s="1"/>
  <c r="DS21" i="28"/>
  <c r="DS23" i="28" s="1"/>
  <c r="DR21" i="28"/>
  <c r="DR23" i="28" s="1"/>
  <c r="DQ21" i="28"/>
  <c r="DP21" i="28"/>
  <c r="DO21" i="28"/>
  <c r="DN21" i="28"/>
  <c r="DM21" i="28"/>
  <c r="DL21" i="28"/>
  <c r="DL23" i="28" s="1"/>
  <c r="BH21" i="28" a="1"/>
  <c r="BH21" i="28" s="1"/>
  <c r="AT21" i="28" a="1"/>
  <c r="AT21" i="28" s="1"/>
  <c r="AK21" i="28" a="1"/>
  <c r="AK21" i="28" s="1"/>
  <c r="AB21" i="28" a="1"/>
  <c r="AB21" i="28" s="1"/>
  <c r="X21" i="28" a="1"/>
  <c r="X21" i="28" s="1"/>
  <c r="W21" i="28" a="1"/>
  <c r="W21" i="28" s="1"/>
  <c r="J21" i="28" a="1"/>
  <c r="J21" i="28" s="1"/>
  <c r="DV20" i="28"/>
  <c r="DU20" i="28"/>
  <c r="DU23" i="28" s="1"/>
  <c r="DT20" i="28"/>
  <c r="DS20" i="28"/>
  <c r="DR20" i="28"/>
  <c r="DQ20" i="28"/>
  <c r="DQ23" i="28" s="1"/>
  <c r="DP20" i="28"/>
  <c r="DO20" i="28"/>
  <c r="DO23" i="28" s="1"/>
  <c r="DN20" i="28"/>
  <c r="DM20" i="28"/>
  <c r="DL20" i="28"/>
  <c r="BK20" i="28"/>
  <c r="BJ20" i="28"/>
  <c r="BI20" i="28"/>
  <c r="BC20" i="28"/>
  <c r="BB20" i="28"/>
  <c r="BA20" i="28"/>
  <c r="AU20" i="28"/>
  <c r="AT20" i="28"/>
  <c r="AS20" i="28"/>
  <c r="AM20" i="28"/>
  <c r="AL20" i="28"/>
  <c r="AK20" i="28"/>
  <c r="AE20" i="28"/>
  <c r="AD20" i="28"/>
  <c r="AC20" i="28"/>
  <c r="U20" i="28"/>
  <c r="T20" i="28"/>
  <c r="J20" i="28"/>
  <c r="I20" i="28"/>
  <c r="E20" i="28"/>
  <c r="BP17" i="28"/>
  <c r="BO17" i="28"/>
  <c r="BJ17" i="28"/>
  <c r="BH17" i="28"/>
  <c r="BB17" i="28"/>
  <c r="AZ17" i="28"/>
  <c r="AT17" i="28"/>
  <c r="AR17" i="28"/>
  <c r="AL17" i="28"/>
  <c r="AJ17" i="28"/>
  <c r="AD17" i="28"/>
  <c r="AB17" i="28"/>
  <c r="X17" i="28"/>
  <c r="U17" i="28"/>
  <c r="T17" i="28"/>
  <c r="P17" i="28"/>
  <c r="J17" i="28"/>
  <c r="BO16" i="28"/>
  <c r="BN16" i="28"/>
  <c r="BM16" i="28"/>
  <c r="BG16" i="28"/>
  <c r="BE16" i="28"/>
  <c r="AY16" i="28"/>
  <c r="AW16" i="28"/>
  <c r="AO16" i="28"/>
  <c r="AI16" i="28"/>
  <c r="AG16" i="28"/>
  <c r="AA16" i="28"/>
  <c r="Y16" i="28"/>
  <c r="X16" i="28"/>
  <c r="U16" i="28"/>
  <c r="T16" i="28"/>
  <c r="P16" i="28"/>
  <c r="J16" i="28"/>
  <c r="I16" i="28"/>
  <c r="DI14" i="28"/>
  <c r="DH14" i="28"/>
  <c r="DG14" i="28"/>
  <c r="DA14" i="28"/>
  <c r="CS14" i="28"/>
  <c r="CR14" i="28"/>
  <c r="CQ14" i="28"/>
  <c r="CK14" i="28"/>
  <c r="CC14" i="28"/>
  <c r="CB14" i="28"/>
  <c r="CA14" i="28"/>
  <c r="BU14" i="28"/>
  <c r="BN14" i="28"/>
  <c r="BM14" i="28"/>
  <c r="BL14" i="28"/>
  <c r="BK14" i="28"/>
  <c r="DF14" i="28" s="1"/>
  <c r="BJ14" i="28"/>
  <c r="BI14" i="28"/>
  <c r="DD14" i="28" s="1"/>
  <c r="BH14" i="28"/>
  <c r="BG14" i="28"/>
  <c r="BF14" i="28"/>
  <c r="BE14" i="28"/>
  <c r="BD14" i="28"/>
  <c r="BC14" i="28"/>
  <c r="CX14" i="28" s="1"/>
  <c r="BB14" i="28"/>
  <c r="BA14" i="28"/>
  <c r="CV14" i="28" s="1"/>
  <c r="AZ14" i="28"/>
  <c r="AY14" i="28"/>
  <c r="AX14" i="28"/>
  <c r="AW14" i="28"/>
  <c r="AV14" i="28"/>
  <c r="AU14" i="28"/>
  <c r="CP14" i="28" s="1"/>
  <c r="AT14" i="28"/>
  <c r="AS14" i="28"/>
  <c r="CN14" i="28" s="1"/>
  <c r="AR14" i="28"/>
  <c r="AQ14" i="28"/>
  <c r="AP14" i="28"/>
  <c r="AO14" i="28"/>
  <c r="AN14" i="28"/>
  <c r="AM14" i="28"/>
  <c r="CH14" i="28" s="1"/>
  <c r="AL14" i="28"/>
  <c r="AK14" i="28"/>
  <c r="CF14" i="28" s="1"/>
  <c r="AJ14" i="28"/>
  <c r="AI14" i="28"/>
  <c r="AH14" i="28"/>
  <c r="AG14" i="28"/>
  <c r="AF14" i="28"/>
  <c r="AE14" i="28"/>
  <c r="BZ14" i="28" s="1"/>
  <c r="AD14" i="28"/>
  <c r="AC14" i="28"/>
  <c r="BX14" i="28" s="1"/>
  <c r="AB14" i="28"/>
  <c r="AA14" i="28"/>
  <c r="Z14" i="28"/>
  <c r="Y14" i="28"/>
  <c r="W14" i="28"/>
  <c r="BR14" i="28" s="1"/>
  <c r="O14" i="28"/>
  <c r="M14" i="28"/>
  <c r="CZ14" i="28" s="1"/>
  <c r="AU13" i="28"/>
  <c r="AT13" i="28"/>
  <c r="AS13" i="28"/>
  <c r="AR13" i="28"/>
  <c r="AQ13" i="28"/>
  <c r="AP13" i="28"/>
  <c r="AO13" i="28"/>
  <c r="AN13" i="28"/>
  <c r="AM13" i="28"/>
  <c r="AL13" i="28"/>
  <c r="AK13" i="28"/>
  <c r="AJ13" i="28"/>
  <c r="AI13" i="28"/>
  <c r="AH13" i="28"/>
  <c r="AG13" i="28"/>
  <c r="AF13" i="28"/>
  <c r="AE13" i="28"/>
  <c r="AD13" i="28"/>
  <c r="AC13" i="28"/>
  <c r="AB13" i="28"/>
  <c r="AA13" i="28"/>
  <c r="Z13" i="28"/>
  <c r="Y13" i="28"/>
  <c r="W13" i="28"/>
  <c r="W20" i="28" s="1"/>
  <c r="R13" i="28"/>
  <c r="M13" i="28"/>
  <c r="DD13" i="28" s="1"/>
  <c r="DD12" i="28"/>
  <c r="DD30" i="28" s="1"/>
  <c r="DA12" i="28"/>
  <c r="DA30" i="28" s="1"/>
  <c r="CS12" i="28"/>
  <c r="CS30" i="28" s="1"/>
  <c r="CQ12" i="28"/>
  <c r="CQ30" i="28" s="1"/>
  <c r="CI12" i="28"/>
  <c r="CI30" i="28" s="1"/>
  <c r="CF12" i="28"/>
  <c r="CF30" i="28" s="1"/>
  <c r="BX12" i="28"/>
  <c r="BX30" i="28" s="1"/>
  <c r="BU12" i="28"/>
  <c r="BU30" i="28" s="1"/>
  <c r="AA12" i="28"/>
  <c r="Z12" i="28"/>
  <c r="Y12" i="28"/>
  <c r="Y30" i="28" s="1"/>
  <c r="W12" i="28"/>
  <c r="M12" i="28"/>
  <c r="H8" i="32" s="1"/>
  <c r="DG11" i="28"/>
  <c r="CW11" i="28"/>
  <c r="CA11" i="28"/>
  <c r="AZ11" i="28"/>
  <c r="AY11" i="28"/>
  <c r="AX11" i="28"/>
  <c r="AW11" i="28"/>
  <c r="AV11" i="28"/>
  <c r="AU11" i="28"/>
  <c r="AT11" i="28"/>
  <c r="AS11" i="28"/>
  <c r="AR11" i="28"/>
  <c r="AQ11" i="28"/>
  <c r="AP11" i="28"/>
  <c r="AO11" i="28"/>
  <c r="AN11" i="28"/>
  <c r="AM11" i="28"/>
  <c r="AL11" i="28"/>
  <c r="AK11" i="28"/>
  <c r="AJ11" i="28"/>
  <c r="AI11" i="28"/>
  <c r="AH11" i="28"/>
  <c r="AG11" i="28"/>
  <c r="AF11" i="28"/>
  <c r="AE11" i="28"/>
  <c r="AD11" i="28"/>
  <c r="AC11" i="28"/>
  <c r="AB11" i="28"/>
  <c r="AA11" i="28"/>
  <c r="Z11" i="28"/>
  <c r="Y11" i="28"/>
  <c r="W11" i="28"/>
  <c r="M11" i="28"/>
  <c r="DD11" i="28" s="1"/>
  <c r="DH10" i="28"/>
  <c r="DC10" i="28"/>
  <c r="CY10" i="28"/>
  <c r="CW10" i="28"/>
  <c r="CP10" i="28"/>
  <c r="CM10" i="28"/>
  <c r="CI10" i="28"/>
  <c r="CA10" i="28"/>
  <c r="BY10" i="28"/>
  <c r="BS10" i="28"/>
  <c r="AO10" i="28"/>
  <c r="AN10" i="28"/>
  <c r="AM10" i="28"/>
  <c r="AL10" i="28"/>
  <c r="AK10" i="28"/>
  <c r="CF10" i="28" s="1"/>
  <c r="AJ10" i="28"/>
  <c r="AI10" i="28"/>
  <c r="CD10" i="28" s="1"/>
  <c r="AH10" i="28"/>
  <c r="AG10" i="28"/>
  <c r="AF10" i="28"/>
  <c r="AE10" i="28"/>
  <c r="AD10" i="28"/>
  <c r="AC10" i="28"/>
  <c r="BX10" i="28" s="1"/>
  <c r="AB10" i="28"/>
  <c r="AA10" i="28"/>
  <c r="BV10" i="28" s="1"/>
  <c r="Z10" i="28"/>
  <c r="Y10" i="28"/>
  <c r="W10" i="28"/>
  <c r="R10" i="28"/>
  <c r="M10" i="28"/>
  <c r="DK10" i="28" s="1"/>
  <c r="DK9" i="28"/>
  <c r="DI9" i="28"/>
  <c r="DC9" i="28"/>
  <c r="DB9" i="28"/>
  <c r="DA9" i="28"/>
  <c r="CU9" i="28"/>
  <c r="CM9" i="28"/>
  <c r="CL9" i="28"/>
  <c r="CK9" i="28"/>
  <c r="CE9" i="28"/>
  <c r="BW9" i="28"/>
  <c r="BV9" i="28"/>
  <c r="BU9" i="28"/>
  <c r="BR9" i="28"/>
  <c r="BE9" i="28"/>
  <c r="BD9" i="28"/>
  <c r="BC9" i="28"/>
  <c r="BB9" i="28"/>
  <c r="CW9" i="28" s="1"/>
  <c r="BA9" i="28"/>
  <c r="CV9" i="28" s="1"/>
  <c r="AZ9" i="28"/>
  <c r="AY9" i="28"/>
  <c r="AX9" i="28"/>
  <c r="AW9" i="28"/>
  <c r="AV9" i="28"/>
  <c r="AU9" i="28"/>
  <c r="AT9" i="28"/>
  <c r="AT23" i="28" s="1"/>
  <c r="AS9" i="28"/>
  <c r="AS37" i="28" s="1" a="1"/>
  <c r="AS37" i="28" s="1"/>
  <c r="AR9" i="28"/>
  <c r="AQ9" i="28"/>
  <c r="AP9" i="28"/>
  <c r="AO9" i="28"/>
  <c r="AN9" i="28"/>
  <c r="AM9" i="28"/>
  <c r="AL9" i="28"/>
  <c r="AL24" i="28" s="1" a="1"/>
  <c r="AL24" i="28" s="1"/>
  <c r="AK9" i="28"/>
  <c r="AK24" i="28" s="1" a="1"/>
  <c r="AK24" i="28" s="1"/>
  <c r="AJ9" i="28"/>
  <c r="AI9" i="28"/>
  <c r="AH9" i="28"/>
  <c r="AG9" i="28"/>
  <c r="AF9" i="28"/>
  <c r="AE9" i="28"/>
  <c r="AD9" i="28"/>
  <c r="BY9" i="28" s="1"/>
  <c r="AC9" i="28"/>
  <c r="AB9" i="28"/>
  <c r="AA9" i="28"/>
  <c r="Z9" i="28"/>
  <c r="Y9" i="28"/>
  <c r="W9" i="28"/>
  <c r="Q9" i="28"/>
  <c r="O9" i="28"/>
  <c r="N9" i="28"/>
  <c r="R9" i="28" s="1"/>
  <c r="M9" i="28"/>
  <c r="DG9" i="28" s="1"/>
  <c r="DH8" i="28"/>
  <c r="CP8" i="28"/>
  <c r="BZ8" i="28"/>
  <c r="BP8" i="28"/>
  <c r="BO8" i="28"/>
  <c r="BN8" i="28"/>
  <c r="BM8" i="28"/>
  <c r="BL8" i="28"/>
  <c r="BK8" i="28"/>
  <c r="BJ8" i="28"/>
  <c r="BI8" i="28"/>
  <c r="BH8" i="28"/>
  <c r="BG8" i="28"/>
  <c r="BF8" i="28"/>
  <c r="BE8" i="28"/>
  <c r="BD8" i="28"/>
  <c r="BC8" i="28"/>
  <c r="BB8" i="28"/>
  <c r="BA8" i="28"/>
  <c r="BA23" i="28" s="1"/>
  <c r="AZ8" i="28"/>
  <c r="AY8" i="28"/>
  <c r="AX8" i="28"/>
  <c r="AT8" i="28"/>
  <c r="AR8" i="28"/>
  <c r="AQ8" i="28"/>
  <c r="AP8" i="28"/>
  <c r="AN8" i="28"/>
  <c r="AM8" i="28"/>
  <c r="AL8" i="28"/>
  <c r="AK8" i="28"/>
  <c r="AJ8" i="28"/>
  <c r="AI8" i="28"/>
  <c r="AH8" i="28"/>
  <c r="AG8" i="28"/>
  <c r="AF8" i="28"/>
  <c r="AE8" i="28"/>
  <c r="AD8" i="28"/>
  <c r="AC8" i="28"/>
  <c r="AB8" i="28"/>
  <c r="AA8" i="28"/>
  <c r="Z8" i="28"/>
  <c r="Y8" i="28"/>
  <c r="W8" i="28"/>
  <c r="M8" i="28"/>
  <c r="CN8" i="28" s="1"/>
  <c r="DK7" i="28"/>
  <c r="DI7" i="28"/>
  <c r="BJ7" i="28"/>
  <c r="BI7" i="28"/>
  <c r="BI23" i="28" s="1"/>
  <c r="BH7" i="28"/>
  <c r="DC7" i="28" s="1"/>
  <c r="BG7" i="28"/>
  <c r="BG17" i="28" s="1"/>
  <c r="BF7" i="28"/>
  <c r="BF16" i="28" s="1"/>
  <c r="BE7" i="28"/>
  <c r="CZ7" i="28" s="1"/>
  <c r="BD7" i="28"/>
  <c r="CY7" i="28" s="1"/>
  <c r="BC7" i="28"/>
  <c r="BB7" i="28"/>
  <c r="BA7" i="28"/>
  <c r="CV7" i="28" s="1"/>
  <c r="AZ7" i="28"/>
  <c r="AZ21" i="28" s="1" a="1"/>
  <c r="AZ21" i="28" s="1"/>
  <c r="AY7" i="28"/>
  <c r="AY17" i="28" s="1"/>
  <c r="AX7" i="28"/>
  <c r="AX16" i="28" s="1"/>
  <c r="AW7" i="28"/>
  <c r="CR7" i="28" s="1"/>
  <c r="AV7" i="28"/>
  <c r="CQ7" i="28" s="1"/>
  <c r="AU7" i="28"/>
  <c r="AT7" i="28"/>
  <c r="AS7" i="28"/>
  <c r="CN7" i="28" s="1"/>
  <c r="AR7" i="28"/>
  <c r="CM7" i="28" s="1"/>
  <c r="AQ7" i="28"/>
  <c r="AQ23" i="28" s="1"/>
  <c r="AP7" i="28"/>
  <c r="CK7" i="28" s="1"/>
  <c r="AO7" i="28"/>
  <c r="CJ7" i="28" s="1"/>
  <c r="AN7" i="28"/>
  <c r="CI7" i="28" s="1"/>
  <c r="AM7" i="28"/>
  <c r="AL7" i="28"/>
  <c r="AK7" i="28"/>
  <c r="CF7" i="28" s="1"/>
  <c r="AJ7" i="28"/>
  <c r="CE7" i="28" s="1"/>
  <c r="AI7" i="28"/>
  <c r="AI17" i="28" s="1"/>
  <c r="AH7" i="28"/>
  <c r="AG7" i="28"/>
  <c r="CB7" i="28" s="1"/>
  <c r="AF7" i="28"/>
  <c r="CA7" i="28" s="1"/>
  <c r="AE7" i="28"/>
  <c r="AD7" i="28"/>
  <c r="AC7" i="28"/>
  <c r="AC23" i="28" s="1"/>
  <c r="AB7" i="28"/>
  <c r="AB23" i="28" s="1"/>
  <c r="AA7" i="28"/>
  <c r="AA24" i="28" s="1" a="1"/>
  <c r="AA24" i="28" s="1"/>
  <c r="Z7" i="28"/>
  <c r="Y7" i="28"/>
  <c r="BT7" i="28" s="1"/>
  <c r="W7" i="28"/>
  <c r="M7" i="28"/>
  <c r="BE6" i="28"/>
  <c r="BD6" i="28"/>
  <c r="BC6" i="28"/>
  <c r="BB6" i="28"/>
  <c r="BA6" i="28"/>
  <c r="AZ6" i="28"/>
  <c r="AY6" i="28"/>
  <c r="AX6" i="28"/>
  <c r="AW6" i="28"/>
  <c r="AV6" i="28"/>
  <c r="AU6" i="28"/>
  <c r="AT6" i="28"/>
  <c r="AS6" i="28"/>
  <c r="AR6" i="28"/>
  <c r="AQ6" i="28"/>
  <c r="AP6" i="28"/>
  <c r="AO6" i="28"/>
  <c r="AN6" i="28"/>
  <c r="AM6" i="28"/>
  <c r="AL6" i="28"/>
  <c r="AK6" i="28"/>
  <c r="AJ6" i="28"/>
  <c r="AI6" i="28"/>
  <c r="AH6" i="28"/>
  <c r="AG6" i="28"/>
  <c r="AF6" i="28"/>
  <c r="AE6" i="28"/>
  <c r="AD6" i="28"/>
  <c r="AC6" i="28"/>
  <c r="AB6" i="28"/>
  <c r="AA6" i="28"/>
  <c r="Z6" i="28"/>
  <c r="Y6" i="28"/>
  <c r="W6" i="28"/>
  <c r="M6" i="28"/>
  <c r="DI6" i="28" s="1"/>
  <c r="CZ5" i="28"/>
  <c r="CZ28" i="28" s="1" a="1"/>
  <c r="CZ28" i="28" s="1"/>
  <c r="CS5" i="28"/>
  <c r="CC5" i="28"/>
  <c r="BV5" i="28"/>
  <c r="BP5" i="28"/>
  <c r="BP23" i="28" s="1"/>
  <c r="BO5" i="28"/>
  <c r="BN5" i="28"/>
  <c r="BM5" i="28"/>
  <c r="BM23" i="28" s="1"/>
  <c r="BL5" i="28"/>
  <c r="BK5" i="28"/>
  <c r="BJ5" i="28"/>
  <c r="BJ16" i="28" s="1"/>
  <c r="BI5" i="28"/>
  <c r="BI16" i="28" s="1"/>
  <c r="BH5" i="28"/>
  <c r="BH16" i="28" s="1"/>
  <c r="BG5" i="28"/>
  <c r="BF5" i="28"/>
  <c r="BE5" i="28"/>
  <c r="BE17" i="28" s="1"/>
  <c r="BD5" i="28"/>
  <c r="BC5" i="28"/>
  <c r="BC21" i="28" s="1" a="1"/>
  <c r="BC21" i="28" s="1"/>
  <c r="BB5" i="28"/>
  <c r="BA5" i="28"/>
  <c r="BA16" i="28" s="1"/>
  <c r="AZ5" i="28"/>
  <c r="AY5" i="28"/>
  <c r="AX5" i="28"/>
  <c r="AX37" i="28" s="1" a="1"/>
  <c r="AX37" i="28" s="1"/>
  <c r="AW5" i="28"/>
  <c r="AV5" i="28"/>
  <c r="AU5" i="28"/>
  <c r="AT5" i="28"/>
  <c r="AT16" i="28" s="1"/>
  <c r="AS5" i="28"/>
  <c r="AS31" i="28" s="1" a="1"/>
  <c r="AS31" i="28" s="1"/>
  <c r="AR5" i="28"/>
  <c r="AR16" i="28" s="1"/>
  <c r="AQ5" i="28"/>
  <c r="AQ24" i="28" s="1" a="1"/>
  <c r="AQ24" i="28" s="1"/>
  <c r="AP5" i="28"/>
  <c r="AP24" i="28" s="1" a="1"/>
  <c r="AP24" i="28" s="1"/>
  <c r="AO5" i="28"/>
  <c r="AN5" i="28"/>
  <c r="AM5" i="28"/>
  <c r="AL5" i="28"/>
  <c r="AK5" i="28"/>
  <c r="AK16" i="28" s="1"/>
  <c r="AJ5" i="28"/>
  <c r="AI5" i="28"/>
  <c r="AH5" i="28"/>
  <c r="AG5" i="28"/>
  <c r="AG17" i="28" s="1"/>
  <c r="AF5" i="28"/>
  <c r="AE5" i="28"/>
  <c r="AD5" i="28"/>
  <c r="AD16" i="28" s="1"/>
  <c r="AC5" i="28"/>
  <c r="AC16" i="28" s="1"/>
  <c r="AB5" i="28"/>
  <c r="AB16" i="28" s="1"/>
  <c r="AA5" i="28"/>
  <c r="Z5" i="28"/>
  <c r="Y5" i="28"/>
  <c r="Y24" i="28" s="1" a="1"/>
  <c r="Y24" i="28" s="1"/>
  <c r="W5" i="28"/>
  <c r="M5" i="28"/>
  <c r="DJ5" i="28" s="1"/>
  <c r="DI4" i="28"/>
  <c r="DH4" i="28"/>
  <c r="CS4" i="28"/>
  <c r="CR4" i="28"/>
  <c r="CK4" i="28"/>
  <c r="CJ4" i="28"/>
  <c r="CB4" i="28"/>
  <c r="BU4" i="28"/>
  <c r="BT4" i="28"/>
  <c r="BP4" i="28"/>
  <c r="DK4" i="28" s="1"/>
  <c r="BO4" i="28"/>
  <c r="DJ4" i="28" s="1"/>
  <c r="BN4" i="28"/>
  <c r="BM4" i="28"/>
  <c r="BL4" i="28"/>
  <c r="DG4" i="28" s="1"/>
  <c r="BK4" i="28"/>
  <c r="DF4" i="28" s="1"/>
  <c r="BJ4" i="28"/>
  <c r="DE4" i="28" s="1"/>
  <c r="BI4" i="28"/>
  <c r="DD4" i="28" s="1"/>
  <c r="BH4" i="28"/>
  <c r="DC4" i="28" s="1"/>
  <c r="BG4" i="28"/>
  <c r="DB4" i="28" s="1"/>
  <c r="BF4" i="28"/>
  <c r="DA4" i="28" s="1"/>
  <c r="BE4" i="28"/>
  <c r="CZ4" i="28" s="1"/>
  <c r="BD4" i="28"/>
  <c r="CY4" i="28" s="1"/>
  <c r="BC4" i="28"/>
  <c r="CX4" i="28" s="1"/>
  <c r="BB4" i="28"/>
  <c r="CW4" i="28" s="1"/>
  <c r="BA4" i="28"/>
  <c r="CV4" i="28" s="1"/>
  <c r="AZ4" i="28"/>
  <c r="CU4" i="28" s="1"/>
  <c r="AY4" i="28"/>
  <c r="CT4" i="28" s="1"/>
  <c r="AX4" i="28"/>
  <c r="AW4" i="28"/>
  <c r="AV4" i="28"/>
  <c r="CQ4" i="28" s="1"/>
  <c r="AU4" i="28"/>
  <c r="CP4" i="28" s="1"/>
  <c r="AT4" i="28"/>
  <c r="CO4" i="28" s="1"/>
  <c r="AS4" i="28"/>
  <c r="CN4" i="28" s="1"/>
  <c r="AR4" i="28"/>
  <c r="CM4" i="28" s="1"/>
  <c r="AQ4" i="28"/>
  <c r="CL4" i="28" s="1"/>
  <c r="AP4" i="28"/>
  <c r="AO4" i="28"/>
  <c r="AN4" i="28"/>
  <c r="CI4" i="28" s="1"/>
  <c r="AM4" i="28"/>
  <c r="CH4" i="28" s="1"/>
  <c r="AL4" i="28"/>
  <c r="CG4" i="28" s="1"/>
  <c r="AK4" i="28"/>
  <c r="CF4" i="28" s="1"/>
  <c r="AJ4" i="28"/>
  <c r="CE4" i="28" s="1"/>
  <c r="AI4" i="28"/>
  <c r="CD4" i="28" s="1"/>
  <c r="AH4" i="28"/>
  <c r="CC4" i="28" s="1"/>
  <c r="AG4" i="28"/>
  <c r="AF4" i="28"/>
  <c r="CA4" i="28" s="1"/>
  <c r="AE4" i="28"/>
  <c r="BZ4" i="28" s="1"/>
  <c r="AD4" i="28"/>
  <c r="BY4" i="28" s="1"/>
  <c r="AC4" i="28"/>
  <c r="BX4" i="28" s="1"/>
  <c r="AB4" i="28"/>
  <c r="BW4" i="28" s="1"/>
  <c r="AA4" i="28"/>
  <c r="BV4" i="28" s="1"/>
  <c r="Z4" i="28"/>
  <c r="Y4" i="28"/>
  <c r="X4" i="28"/>
  <c r="BS4" i="28" s="1"/>
  <c r="W4" i="28"/>
  <c r="BR4" i="28" s="1"/>
  <c r="DK3" i="28"/>
  <c r="DJ3" i="28"/>
  <c r="DI3" i="28"/>
  <c r="DH3" i="28"/>
  <c r="DG3" i="28"/>
  <c r="DF3" i="28"/>
  <c r="DE3" i="28"/>
  <c r="DD3" i="28"/>
  <c r="DC3" i="28"/>
  <c r="DB3" i="28"/>
  <c r="DA3" i="28"/>
  <c r="CZ3" i="28"/>
  <c r="CY3" i="28"/>
  <c r="CX3" i="28"/>
  <c r="CW3" i="28"/>
  <c r="CV3" i="28"/>
  <c r="CU3" i="28"/>
  <c r="CT3" i="28"/>
  <c r="CS3" i="28"/>
  <c r="CR3" i="28"/>
  <c r="CQ3" i="28"/>
  <c r="CP3" i="28"/>
  <c r="CO3" i="28"/>
  <c r="CN3" i="28"/>
  <c r="CM3" i="28"/>
  <c r="CL3" i="28"/>
  <c r="CK3" i="28"/>
  <c r="CJ3" i="28"/>
  <c r="CI3" i="28"/>
  <c r="CH3" i="28"/>
  <c r="CG3" i="28"/>
  <c r="CF3" i="28"/>
  <c r="CE3" i="28"/>
  <c r="CD3" i="28"/>
  <c r="CC3" i="28"/>
  <c r="CB3" i="28"/>
  <c r="CA3" i="28"/>
  <c r="BZ3" i="28"/>
  <c r="BY3" i="28"/>
  <c r="BX3" i="28"/>
  <c r="BW3" i="28"/>
  <c r="BV3" i="28"/>
  <c r="BU3" i="28"/>
  <c r="BT3" i="28"/>
  <c r="BS3" i="28"/>
  <c r="BR3" i="28"/>
  <c r="AT19" i="30" l="1"/>
  <c r="BB19" i="30"/>
  <c r="AX28" i="30"/>
  <c r="AJ22" i="30" a="1"/>
  <c r="AJ22" i="30" s="1"/>
  <c r="AJ18" i="30"/>
  <c r="AR37" i="30" a="1"/>
  <c r="AR37" i="30" s="1"/>
  <c r="BB18" i="30"/>
  <c r="AR19" i="30"/>
  <c r="AY28" i="30"/>
  <c r="AY30" i="30" s="1"/>
  <c r="AU41" i="30"/>
  <c r="AM19" i="30"/>
  <c r="AU37" i="30" a="1"/>
  <c r="AU37" i="30" s="1"/>
  <c r="AJ19" i="30"/>
  <c r="BA22" i="30" a="1"/>
  <c r="BA22" i="30" s="1"/>
  <c r="AL19" i="30"/>
  <c r="AN18" i="30"/>
  <c r="AV18" i="30"/>
  <c r="AK29" i="30" a="1"/>
  <c r="AK29" i="30" s="1"/>
  <c r="BA19" i="30"/>
  <c r="CG17" i="29"/>
  <c r="CO29" i="29" a="1"/>
  <c r="CO29" i="29" s="1"/>
  <c r="BT17" i="29"/>
  <c r="CB17" i="29"/>
  <c r="BG17" i="29"/>
  <c r="CE16" i="29"/>
  <c r="CU29" i="29" a="1"/>
  <c r="CU29" i="29" s="1"/>
  <c r="BJ22" i="29"/>
  <c r="BR17" i="29"/>
  <c r="CP22" i="29"/>
  <c r="CX17" i="29"/>
  <c r="BU17" i="29"/>
  <c r="BT16" i="29"/>
  <c r="CI17" i="29"/>
  <c r="BF23" i="29" a="1"/>
  <c r="BF23" i="29" s="1"/>
  <c r="BQ20" i="29" a="1"/>
  <c r="BQ20" i="29" s="1"/>
  <c r="CE17" i="29"/>
  <c r="BJ16" i="29"/>
  <c r="CH20" i="29" a="1"/>
  <c r="CH20" i="29" s="1"/>
  <c r="BR16" i="29"/>
  <c r="CX16" i="29"/>
  <c r="CD16" i="29"/>
  <c r="BU19" i="29"/>
  <c r="DD6" i="28"/>
  <c r="CB5" i="28"/>
  <c r="CT5" i="28"/>
  <c r="N6" i="28"/>
  <c r="R6" i="28" s="1"/>
  <c r="BY6" i="28"/>
  <c r="BY31" i="28" s="1" a="1"/>
  <c r="BY31" i="28" s="1"/>
  <c r="CO6" i="28"/>
  <c r="DE6" i="28"/>
  <c r="BX8" i="28"/>
  <c r="CF8" i="28"/>
  <c r="CS8" i="28"/>
  <c r="DA8" i="28"/>
  <c r="DI8" i="28"/>
  <c r="CB8" i="28"/>
  <c r="CQ8" i="28"/>
  <c r="BT9" i="28"/>
  <c r="CJ9" i="28"/>
  <c r="CZ9" i="28"/>
  <c r="DJ9" i="28"/>
  <c r="BW10" i="28"/>
  <c r="CE10" i="28"/>
  <c r="BT10" i="28"/>
  <c r="BT20" i="28" s="1"/>
  <c r="CJ10" i="28"/>
  <c r="CJ20" i="28" s="1"/>
  <c r="CX10" i="28"/>
  <c r="BU11" i="28"/>
  <c r="CC11" i="28"/>
  <c r="CK11" i="28"/>
  <c r="CS11" i="28"/>
  <c r="CB11" i="28"/>
  <c r="CX11" i="28"/>
  <c r="DH11" i="28"/>
  <c r="BV12" i="28"/>
  <c r="BV30" i="28" s="1"/>
  <c r="CH12" i="28"/>
  <c r="CR12" i="28"/>
  <c r="DB12" i="28"/>
  <c r="DB30" i="28" s="1"/>
  <c r="CJ13" i="28"/>
  <c r="CZ13" i="28"/>
  <c r="Q14" i="28"/>
  <c r="BY14" i="28"/>
  <c r="CG14" i="28"/>
  <c r="CO14" i="28"/>
  <c r="CW14" i="28"/>
  <c r="DE14" i="28"/>
  <c r="BV14" i="28"/>
  <c r="CL14" i="28"/>
  <c r="DB14" i="28"/>
  <c r="BX6" i="28"/>
  <c r="CD6" i="28"/>
  <c r="CE8" i="28"/>
  <c r="CR8" i="28"/>
  <c r="BV11" i="28"/>
  <c r="CD11" i="28"/>
  <c r="CL11" i="28"/>
  <c r="CT11" i="28"/>
  <c r="CH11" i="28"/>
  <c r="CY11" i="28"/>
  <c r="DI11" i="28"/>
  <c r="CA13" i="28"/>
  <c r="CI13" i="28"/>
  <c r="BS13" i="28"/>
  <c r="CO13" i="28"/>
  <c r="CO20" i="28" s="1"/>
  <c r="DE13" i="28"/>
  <c r="DJ8" i="28"/>
  <c r="CD5" i="28"/>
  <c r="DA5" i="28"/>
  <c r="BZ6" i="28"/>
  <c r="CH6" i="28"/>
  <c r="CP6" i="28"/>
  <c r="CX6" i="28"/>
  <c r="CE6" i="28"/>
  <c r="CU6" i="28"/>
  <c r="DH6" i="28"/>
  <c r="O8" i="28"/>
  <c r="CU8" i="28"/>
  <c r="DC8" i="28"/>
  <c r="DK8" i="28"/>
  <c r="CG8" i="28"/>
  <c r="CG37" i="28" s="1" a="1"/>
  <c r="CG37" i="28" s="1"/>
  <c r="CX8" i="28"/>
  <c r="H6" i="32"/>
  <c r="BZ10" i="28"/>
  <c r="CO10" i="28"/>
  <c r="CZ10" i="28"/>
  <c r="CZ20" i="28" s="1"/>
  <c r="N11" i="28"/>
  <c r="R11" i="28" s="1"/>
  <c r="BW11" i="28"/>
  <c r="CE11" i="28"/>
  <c r="CE23" i="28" s="1"/>
  <c r="CM11" i="28"/>
  <c r="CU11" i="28"/>
  <c r="CI11" i="28"/>
  <c r="CZ11" i="28"/>
  <c r="DK11" i="28"/>
  <c r="BZ12" i="28"/>
  <c r="CJ12" i="28"/>
  <c r="CJ30" i="28" s="1"/>
  <c r="CT12" i="28"/>
  <c r="DF12" i="28"/>
  <c r="BT13" i="28"/>
  <c r="CP13" i="28"/>
  <c r="CP20" i="28" s="1"/>
  <c r="DF13" i="28"/>
  <c r="DB5" i="28"/>
  <c r="CA6" i="28"/>
  <c r="CQ6" i="28"/>
  <c r="CY6" i="28"/>
  <c r="CF6" i="28"/>
  <c r="CV6" i="28"/>
  <c r="DJ6" i="28"/>
  <c r="BS8" i="28"/>
  <c r="CH8" i="28"/>
  <c r="CA20" i="28"/>
  <c r="O11" i="28"/>
  <c r="BX11" i="28"/>
  <c r="CF11" i="28"/>
  <c r="CN11" i="28"/>
  <c r="BR11" i="28"/>
  <c r="CJ11" i="28"/>
  <c r="DA11" i="28"/>
  <c r="CA12" i="28"/>
  <c r="CK12" i="28"/>
  <c r="CK30" i="28" s="1"/>
  <c r="CV12" i="28"/>
  <c r="DG12" i="28"/>
  <c r="BU13" i="28"/>
  <c r="CC13" i="28"/>
  <c r="CK13" i="28"/>
  <c r="BY13" i="28"/>
  <c r="CQ13" i="28"/>
  <c r="DG13" i="28"/>
  <c r="CN6" i="28"/>
  <c r="BS20" i="28"/>
  <c r="CT6" i="28"/>
  <c r="CT8" i="28"/>
  <c r="CE5" i="28"/>
  <c r="CU5" i="28"/>
  <c r="BR6" i="28"/>
  <c r="CA8" i="28"/>
  <c r="CA49" i="28" s="1" a="1"/>
  <c r="CA49" i="28" s="1"/>
  <c r="CI8" i="28"/>
  <c r="CY8" i="28"/>
  <c r="N5" i="28"/>
  <c r="R5" i="28" s="1"/>
  <c r="R28" i="28" s="1" a="1"/>
  <c r="R28" i="28" s="1"/>
  <c r="BS5" i="28"/>
  <c r="CK5" i="28"/>
  <c r="DH5" i="28"/>
  <c r="BT6" i="28"/>
  <c r="CB6" i="28"/>
  <c r="CB43" i="28" s="1" a="1"/>
  <c r="CB43" i="28" s="1"/>
  <c r="CJ6" i="28"/>
  <c r="CR6" i="28"/>
  <c r="CR40" i="28" s="1" a="1"/>
  <c r="CR40" i="28" s="1"/>
  <c r="CZ6" i="28"/>
  <c r="CG6" i="28"/>
  <c r="CW6" i="28"/>
  <c r="DK6" i="28"/>
  <c r="CK8" i="28"/>
  <c r="CW8" i="28"/>
  <c r="CW37" i="28" s="1" a="1"/>
  <c r="CW37" i="28" s="1"/>
  <c r="DE8" i="28"/>
  <c r="BT8" i="28"/>
  <c r="BT17" i="28" s="1"/>
  <c r="CJ8" i="28"/>
  <c r="CZ8" i="28"/>
  <c r="BZ9" i="28"/>
  <c r="CH9" i="28"/>
  <c r="CP9" i="28"/>
  <c r="CX9" i="28"/>
  <c r="CB9" i="28"/>
  <c r="CR9" i="28"/>
  <c r="DD9" i="28"/>
  <c r="CB10" i="28"/>
  <c r="CQ10" i="28"/>
  <c r="CQ20" i="28" s="1"/>
  <c r="DE10" i="28"/>
  <c r="Q11" i="28"/>
  <c r="BY11" i="28"/>
  <c r="CG11" i="28"/>
  <c r="CO11" i="28"/>
  <c r="BS11" i="28"/>
  <c r="CP11" i="28"/>
  <c r="DC11" i="28"/>
  <c r="N12" i="28"/>
  <c r="R12" i="28" s="1"/>
  <c r="R30" i="28" s="1"/>
  <c r="BR12" i="28"/>
  <c r="CB12" i="28"/>
  <c r="CB30" i="28" s="1"/>
  <c r="CL12" i="28"/>
  <c r="CL30" i="28" s="1"/>
  <c r="CX12" i="28"/>
  <c r="DH12" i="28"/>
  <c r="DH30" i="28" s="1"/>
  <c r="BV13" i="28"/>
  <c r="CD13" i="28"/>
  <c r="CL13" i="28"/>
  <c r="BZ13" i="28"/>
  <c r="BZ20" i="28" s="1"/>
  <c r="CR13" i="28"/>
  <c r="CR24" i="28" s="1" a="1"/>
  <c r="CR24" i="28" s="1"/>
  <c r="DH13" i="28"/>
  <c r="DH20" i="28" s="1"/>
  <c r="CD14" i="28"/>
  <c r="CT14" i="28"/>
  <c r="DJ14" i="28"/>
  <c r="M20" i="28"/>
  <c r="M43" i="28" a="1"/>
  <c r="M43" i="28" s="1"/>
  <c r="CI20" i="28"/>
  <c r="CY13" i="28"/>
  <c r="CY20" i="28" s="1"/>
  <c r="DF6" i="28"/>
  <c r="CI6" i="28"/>
  <c r="Q5" i="28"/>
  <c r="CG5" i="28"/>
  <c r="CW5" i="28"/>
  <c r="BT5" i="28"/>
  <c r="CL5" i="28"/>
  <c r="DI5" i="28"/>
  <c r="DI23" i="28" s="1"/>
  <c r="BU6" i="28"/>
  <c r="CC6" i="28"/>
  <c r="CC43" i="28" s="1" a="1"/>
  <c r="CC43" i="28" s="1"/>
  <c r="CK6" i="28"/>
  <c r="CS6" i="28"/>
  <c r="BV6" i="28"/>
  <c r="CL6" i="28"/>
  <c r="DB6" i="28"/>
  <c r="M23" i="28"/>
  <c r="BY7" i="28"/>
  <c r="CG7" i="28"/>
  <c r="CG43" i="28" s="1" a="1"/>
  <c r="CG43" i="28" s="1"/>
  <c r="CO7" i="28"/>
  <c r="CW7" i="28"/>
  <c r="DE7" i="28"/>
  <c r="BU8" i="28"/>
  <c r="CC8" i="28"/>
  <c r="CL8" i="28"/>
  <c r="CL34" i="28" s="1" a="1"/>
  <c r="CL34" i="28" s="1"/>
  <c r="BW8" i="28"/>
  <c r="CM8" i="28"/>
  <c r="DF8" i="28"/>
  <c r="CA9" i="28"/>
  <c r="CI9" i="28"/>
  <c r="CQ9" i="28"/>
  <c r="CY9" i="28"/>
  <c r="CC9" i="28"/>
  <c r="CC34" i="28" s="1" a="1"/>
  <c r="CC34" i="28" s="1"/>
  <c r="CS9" i="28"/>
  <c r="DF9" i="28"/>
  <c r="CG10" i="28"/>
  <c r="CR10" i="28"/>
  <c r="DF10" i="28"/>
  <c r="DF20" i="28" s="1"/>
  <c r="BT11" i="28"/>
  <c r="CQ11" i="28"/>
  <c r="DE11" i="28"/>
  <c r="O12" i="28"/>
  <c r="O30" i="28" s="1"/>
  <c r="BS12" i="28"/>
  <c r="CC12" i="28"/>
  <c r="CN12" i="28"/>
  <c r="CY12" i="28"/>
  <c r="DI12" i="28"/>
  <c r="CB13" i="28"/>
  <c r="CW13" i="28"/>
  <c r="BS14" i="28"/>
  <c r="CI14" i="28"/>
  <c r="CY14" i="28"/>
  <c r="DK14" i="28"/>
  <c r="CH13" i="28"/>
  <c r="Q6" i="28"/>
  <c r="DB8" i="28"/>
  <c r="CJ5" i="28"/>
  <c r="CJ21" i="28" s="1" a="1"/>
  <c r="CJ21" i="28" s="1"/>
  <c r="BR8" i="28"/>
  <c r="BU5" i="28"/>
  <c r="BU23" i="28" s="1"/>
  <c r="CR5" i="28"/>
  <c r="BW6" i="28"/>
  <c r="CM6" i="28"/>
  <c r="DC6" i="28"/>
  <c r="N7" i="28"/>
  <c r="R7" i="28" s="1"/>
  <c r="BZ7" i="28"/>
  <c r="BZ49" i="28" s="1" a="1"/>
  <c r="BZ49" i="28" s="1"/>
  <c r="CH7" i="28"/>
  <c r="CP7" i="28"/>
  <c r="CX7" i="28"/>
  <c r="DA7" i="28"/>
  <c r="BV8" i="28"/>
  <c r="CD8" i="28"/>
  <c r="BY8" i="28"/>
  <c r="CO8" i="28"/>
  <c r="DG8" i="28"/>
  <c r="CD9" i="28"/>
  <c r="CT9" i="28"/>
  <c r="DH9" i="28"/>
  <c r="BU10" i="28"/>
  <c r="CC10" i="28"/>
  <c r="BR10" i="28"/>
  <c r="CH10" i="28"/>
  <c r="CH20" i="28" s="1"/>
  <c r="CU10" i="28"/>
  <c r="DG10" i="28"/>
  <c r="BZ11" i="28"/>
  <c r="CR11" i="28"/>
  <c r="DF11" i="28"/>
  <c r="Q12" i="28"/>
  <c r="J8" i="32" s="1"/>
  <c r="BT12" i="28"/>
  <c r="CD12" i="28"/>
  <c r="CD40" i="28" s="1" a="1"/>
  <c r="CD40" i="28" s="1"/>
  <c r="CP12" i="28"/>
  <c r="CZ12" i="28"/>
  <c r="CZ30" i="28" s="1"/>
  <c r="DJ12" i="28"/>
  <c r="BX13" i="28"/>
  <c r="CF13" i="28"/>
  <c r="CN13" i="28"/>
  <c r="CG13" i="28"/>
  <c r="CX13" i="28"/>
  <c r="N14" i="28"/>
  <c r="R14" i="28" s="1"/>
  <c r="BW14" i="28"/>
  <c r="BW23" i="28" s="1"/>
  <c r="CE14" i="28"/>
  <c r="CM14" i="28"/>
  <c r="CU14" i="28"/>
  <c r="DC14" i="28"/>
  <c r="BT14" i="28"/>
  <c r="CJ14" i="28"/>
  <c r="CB24" i="28" a="1"/>
  <c r="CB24" i="28" s="1"/>
  <c r="CZ43" i="28" a="1"/>
  <c r="CZ43" i="28" s="1"/>
  <c r="Z16" i="28"/>
  <c r="AH16" i="28"/>
  <c r="AP21" i="28" a="1"/>
  <c r="AP21" i="28" s="1"/>
  <c r="AP16" i="28"/>
  <c r="CS7" i="28"/>
  <c r="DH34" i="28" a="1"/>
  <c r="DH34" i="28" s="1"/>
  <c r="BT34" i="28" a="1"/>
  <c r="BT34" i="28" s="1"/>
  <c r="BC24" i="28" a="1"/>
  <c r="BC24" i="28" s="1"/>
  <c r="AE40" i="28" a="1"/>
  <c r="AE40" i="28" s="1"/>
  <c r="AE43" i="28" a="1"/>
  <c r="AE43" i="28" s="1"/>
  <c r="AE34" i="28" a="1"/>
  <c r="AE34" i="28" s="1"/>
  <c r="AE16" i="28"/>
  <c r="BZ5" i="28"/>
  <c r="AE23" i="28"/>
  <c r="AE17" i="28"/>
  <c r="AE46" i="28" a="1"/>
  <c r="AE46" i="28" s="1"/>
  <c r="AM43" i="28" a="1"/>
  <c r="AM43" i="28" s="1"/>
  <c r="AM46" i="28" a="1"/>
  <c r="AM46" i="28" s="1"/>
  <c r="AM16" i="28"/>
  <c r="CH5" i="28"/>
  <c r="CH23" i="28" s="1"/>
  <c r="AM40" i="28" a="1"/>
  <c r="AM40" i="28" s="1"/>
  <c r="AM17" i="28"/>
  <c r="AM34" i="28" a="1"/>
  <c r="AM34" i="28" s="1"/>
  <c r="AU46" i="28" a="1"/>
  <c r="AU46" i="28" s="1"/>
  <c r="AU40" i="28" a="1"/>
  <c r="AU40" i="28" s="1"/>
  <c r="AU43" i="28" a="1"/>
  <c r="AU43" i="28" s="1"/>
  <c r="AU16" i="28"/>
  <c r="CP5" i="28"/>
  <c r="CP37" i="28" s="1" a="1"/>
  <c r="CP37" i="28" s="1"/>
  <c r="AU34" i="28" a="1"/>
  <c r="AU34" i="28" s="1"/>
  <c r="AU24" i="28" a="1"/>
  <c r="AU24" i="28" s="1"/>
  <c r="AU21" i="28" a="1"/>
  <c r="AU21" i="28" s="1"/>
  <c r="AU23" i="28"/>
  <c r="AU17" i="28"/>
  <c r="BC43" i="28" a="1"/>
  <c r="BC43" i="28" s="1"/>
  <c r="BC40" i="28" a="1"/>
  <c r="BC40" i="28" s="1"/>
  <c r="BC46" i="28" a="1"/>
  <c r="BC46" i="28" s="1"/>
  <c r="BC34" i="28" a="1"/>
  <c r="BC34" i="28" s="1"/>
  <c r="BC16" i="28"/>
  <c r="CX5" i="28"/>
  <c r="BC17" i="28"/>
  <c r="BC23" i="28"/>
  <c r="BK40" i="28" a="1"/>
  <c r="BK40" i="28" s="1"/>
  <c r="BK43" i="28" a="1"/>
  <c r="BK43" i="28" s="1"/>
  <c r="BK46" i="28" a="1"/>
  <c r="BK46" i="28" s="1"/>
  <c r="BK16" i="28"/>
  <c r="DF5" i="28"/>
  <c r="BK17" i="28"/>
  <c r="BK23" i="28"/>
  <c r="CR16" i="28"/>
  <c r="BR13" i="28"/>
  <c r="CJ16" i="28"/>
  <c r="BU7" i="28"/>
  <c r="CC7" i="28"/>
  <c r="CV8" i="28"/>
  <c r="BA17" i="28"/>
  <c r="DD8" i="28"/>
  <c r="BI24" i="28" a="1"/>
  <c r="BI24" i="28" s="1"/>
  <c r="BI21" i="28" a="1"/>
  <c r="BI21" i="28" s="1"/>
  <c r="BI17" i="28"/>
  <c r="AC24" i="28" a="1"/>
  <c r="AC24" i="28" s="1"/>
  <c r="BX9" i="28"/>
  <c r="AC21" i="28" a="1"/>
  <c r="AC21" i="28" s="1"/>
  <c r="AC17" i="28"/>
  <c r="AK23" i="28"/>
  <c r="CF9" i="28"/>
  <c r="AK17" i="28"/>
  <c r="CN9" i="28"/>
  <c r="AS17" i="28"/>
  <c r="W43" i="28" a="1"/>
  <c r="W43" i="28" s="1"/>
  <c r="W40" i="28" a="1"/>
  <c r="W40" i="28" s="1"/>
  <c r="W46" i="28" a="1"/>
  <c r="W46" i="28" s="1"/>
  <c r="W34" i="28" a="1"/>
  <c r="W34" i="28" s="1"/>
  <c r="AF40" i="28" a="1"/>
  <c r="AF40" i="28" s="1"/>
  <c r="AF46" i="28" a="1"/>
  <c r="AF46" i="28" s="1"/>
  <c r="AF43" i="28" a="1"/>
  <c r="AF43" i="28" s="1"/>
  <c r="AN46" i="28" a="1"/>
  <c r="AN46" i="28" s="1"/>
  <c r="AN40" i="28" a="1"/>
  <c r="AN40" i="28" s="1"/>
  <c r="AN43" i="28" a="1"/>
  <c r="AN43" i="28" s="1"/>
  <c r="AN34" i="28" a="1"/>
  <c r="AN34" i="28" s="1"/>
  <c r="AV43" i="28" a="1"/>
  <c r="AV43" i="28" s="1"/>
  <c r="AV46" i="28" a="1"/>
  <c r="AV46" i="28" s="1"/>
  <c r="AV34" i="28" a="1"/>
  <c r="AV34" i="28" s="1"/>
  <c r="AV40" i="28" a="1"/>
  <c r="AV40" i="28" s="1"/>
  <c r="BD43" i="28" a="1"/>
  <c r="BD43" i="28" s="1"/>
  <c r="BD40" i="28" a="1"/>
  <c r="BD40" i="28" s="1"/>
  <c r="BD34" i="28" a="1"/>
  <c r="BD34" i="28" s="1"/>
  <c r="BL40" i="28" a="1"/>
  <c r="BL40" i="28" s="1"/>
  <c r="BL46" i="28" a="1"/>
  <c r="BL46" i="28" s="1"/>
  <c r="BL43" i="28" a="1"/>
  <c r="BL43" i="28" s="1"/>
  <c r="BL37" i="28" a="1"/>
  <c r="BL37" i="28" s="1"/>
  <c r="BU43" i="28" a="1"/>
  <c r="BU43" i="28" s="1"/>
  <c r="CS46" i="28" a="1"/>
  <c r="CS46" i="28" s="1"/>
  <c r="BV7" i="28"/>
  <c r="CD7" i="28"/>
  <c r="CL7" i="28"/>
  <c r="CT7" i="28"/>
  <c r="DB7" i="28"/>
  <c r="DJ7" i="28"/>
  <c r="AG21" i="28" a="1"/>
  <c r="AG21" i="28" s="1"/>
  <c r="AY21" i="28" a="1"/>
  <c r="AY21" i="28" s="1"/>
  <c r="BD21" i="28" a="1"/>
  <c r="BD21" i="28" s="1"/>
  <c r="BM21" i="28" a="1"/>
  <c r="BM21" i="28" s="1"/>
  <c r="AA23" i="28"/>
  <c r="AJ23" i="28"/>
  <c r="AS23" i="28"/>
  <c r="BB23" i="28"/>
  <c r="AG24" i="28" a="1"/>
  <c r="AG24" i="28" s="1"/>
  <c r="AY24" i="28" a="1"/>
  <c r="AY24" i="28" s="1"/>
  <c r="BM24" i="28" a="1"/>
  <c r="BM24" i="28" s="1"/>
  <c r="DG27" i="28"/>
  <c r="CY27" i="28"/>
  <c r="CQ27" i="28"/>
  <c r="CI27" i="28"/>
  <c r="CA27" i="28"/>
  <c r="BS27" i="28"/>
  <c r="BJ27" i="28"/>
  <c r="BB27" i="28"/>
  <c r="AT27" i="28"/>
  <c r="AL27" i="28"/>
  <c r="AD27" i="28"/>
  <c r="U27" i="28"/>
  <c r="J27" i="28"/>
  <c r="DK28" i="28" a="1"/>
  <c r="DK28" i="28" s="1"/>
  <c r="DG28" i="28" a="1"/>
  <c r="DG28" i="28" s="1"/>
  <c r="DC28" i="28" a="1"/>
  <c r="DC28" i="28" s="1"/>
  <c r="CY28" i="28" a="1"/>
  <c r="CY28" i="28" s="1"/>
  <c r="CU28" i="28" a="1"/>
  <c r="CU28" i="28" s="1"/>
  <c r="CQ28" i="28" a="1"/>
  <c r="CQ28" i="28" s="1"/>
  <c r="CM28" i="28" a="1"/>
  <c r="CM28" i="28" s="1"/>
  <c r="CI28" i="28" a="1"/>
  <c r="CI28" i="28" s="1"/>
  <c r="CE28" i="28" a="1"/>
  <c r="CE28" i="28" s="1"/>
  <c r="CA28" i="28" a="1"/>
  <c r="CA28" i="28" s="1"/>
  <c r="BW28" i="28" a="1"/>
  <c r="BW28" i="28" s="1"/>
  <c r="BS28" i="28" a="1"/>
  <c r="BS28" i="28" s="1"/>
  <c r="BN28" i="28" a="1"/>
  <c r="BN28" i="28" s="1"/>
  <c r="DI28" i="28" a="1"/>
  <c r="DI28" i="28" s="1"/>
  <c r="CX28" i="28" a="1"/>
  <c r="CX28" i="28" s="1"/>
  <c r="CS28" i="28" a="1"/>
  <c r="CS28" i="28" s="1"/>
  <c r="CH28" i="28" a="1"/>
  <c r="CH28" i="28" s="1"/>
  <c r="CC28" i="28" a="1"/>
  <c r="CC28" i="28" s="1"/>
  <c r="BR28" i="28" a="1"/>
  <c r="BR28" i="28" s="1"/>
  <c r="BL28" i="28" a="1"/>
  <c r="BL28" i="28" s="1"/>
  <c r="BG28" i="28" a="1"/>
  <c r="BG28" i="28" s="1"/>
  <c r="AX28" i="28" a="1"/>
  <c r="AX28" i="28" s="1"/>
  <c r="AO28" i="28" a="1"/>
  <c r="AO28" i="28" s="1"/>
  <c r="AF28" i="28" a="1"/>
  <c r="AF28" i="28" s="1"/>
  <c r="AA28" i="28" a="1"/>
  <c r="AA28" i="28" s="1"/>
  <c r="P28" i="28" a="1"/>
  <c r="P28" i="28" s="1"/>
  <c r="DK27" i="28"/>
  <c r="DB28" i="28" a="1"/>
  <c r="DB28" i="28" s="1"/>
  <c r="CW28" i="28" a="1"/>
  <c r="CW28" i="28" s="1"/>
  <c r="CL28" i="28" a="1"/>
  <c r="CL28" i="28" s="1"/>
  <c r="CG28" i="28" a="1"/>
  <c r="CG28" i="28" s="1"/>
  <c r="BV28" i="28" a="1"/>
  <c r="BV28" i="28" s="1"/>
  <c r="BP28" i="28" a="1"/>
  <c r="BP28" i="28" s="1"/>
  <c r="BF28" i="28" a="1"/>
  <c r="BF28" i="28" s="1"/>
  <c r="AW28" i="28" a="1"/>
  <c r="AW28" i="28" s="1"/>
  <c r="AN28" i="28" a="1"/>
  <c r="AN28" i="28" s="1"/>
  <c r="AI28" i="28" a="1"/>
  <c r="AI28" i="28" s="1"/>
  <c r="Z28" i="28" a="1"/>
  <c r="Z28" i="28" s="1"/>
  <c r="O28" i="28" a="1"/>
  <c r="O28" i="28" s="1"/>
  <c r="T27" i="28"/>
  <c r="AE27" i="28"/>
  <c r="AN27" i="28"/>
  <c r="AW27" i="28"/>
  <c r="BF27" i="28"/>
  <c r="BO27" i="28"/>
  <c r="BY27" i="28"/>
  <c r="CH27" i="28"/>
  <c r="CR27" i="28"/>
  <c r="DA27" i="28"/>
  <c r="DJ27" i="28"/>
  <c r="Q28" i="28" a="1"/>
  <c r="Q28" i="28" s="1"/>
  <c r="Y28" i="28" a="1"/>
  <c r="Y28" i="28" s="1"/>
  <c r="AE28" i="28" a="1"/>
  <c r="AE28" i="28" s="1"/>
  <c r="AQ28" i="28" a="1"/>
  <c r="AQ28" i="28" s="1"/>
  <c r="BD28" i="28" a="1"/>
  <c r="BD28" i="28" s="1"/>
  <c r="BY28" i="28" a="1"/>
  <c r="BY28" i="28" s="1"/>
  <c r="CT28" i="28" a="1"/>
  <c r="CT28" i="28" s="1"/>
  <c r="DA28" i="28" a="1"/>
  <c r="DA28" i="28" s="1"/>
  <c r="DH28" i="28" a="1"/>
  <c r="DH28" i="28" s="1"/>
  <c r="Q30" i="28"/>
  <c r="AJ34" i="28" a="1"/>
  <c r="AJ34" i="28" s="1"/>
  <c r="AW43" i="28" a="1"/>
  <c r="AW43" i="28" s="1"/>
  <c r="AW40" i="28" a="1"/>
  <c r="AW40" i="28" s="1"/>
  <c r="AW34" i="28" a="1"/>
  <c r="AW34" i="28" s="1"/>
  <c r="CU7" i="28"/>
  <c r="AQ16" i="28"/>
  <c r="BL34" i="28" a="1"/>
  <c r="BL34" i="28" s="1"/>
  <c r="BE40" i="28" a="1"/>
  <c r="BE40" i="28" s="1"/>
  <c r="AH40" i="28" a="1"/>
  <c r="AH40" i="28" s="1"/>
  <c r="AH34" i="28" a="1"/>
  <c r="AH34" i="28" s="1"/>
  <c r="AX40" i="28" a="1"/>
  <c r="AX40" i="28" s="1"/>
  <c r="AX34" i="28" a="1"/>
  <c r="AX34" i="28" s="1"/>
  <c r="BN34" i="28" a="1"/>
  <c r="BN34" i="28" s="1"/>
  <c r="BN40" i="28" a="1"/>
  <c r="BN40" i="28" s="1"/>
  <c r="CM5" i="28"/>
  <c r="DC5" i="28"/>
  <c r="O7" i="28"/>
  <c r="BX7" i="28"/>
  <c r="DD7" i="28"/>
  <c r="CS10" i="28"/>
  <c r="DI10" i="28"/>
  <c r="DA13" i="28"/>
  <c r="AJ16" i="28"/>
  <c r="AZ16" i="28"/>
  <c r="BP16" i="28"/>
  <c r="M17" i="28"/>
  <c r="X20" i="28"/>
  <c r="AN20" i="28"/>
  <c r="BL20" i="28"/>
  <c r="Y21" i="28" a="1"/>
  <c r="Y21" i="28" s="1"/>
  <c r="AV21" i="28" a="1"/>
  <c r="AV21" i="28" s="1"/>
  <c r="BE21" i="28" a="1"/>
  <c r="BE21" i="28" s="1"/>
  <c r="BN21" i="28" a="1"/>
  <c r="BN21" i="28" s="1"/>
  <c r="AL23" i="28"/>
  <c r="BD23" i="28"/>
  <c r="AH24" i="28" a="1"/>
  <c r="AH24" i="28" s="1"/>
  <c r="BE24" i="28" a="1"/>
  <c r="BE24" i="28" s="1"/>
  <c r="BN24" i="28" a="1"/>
  <c r="BN24" i="28" s="1"/>
  <c r="M27" i="28"/>
  <c r="X27" i="28"/>
  <c r="AG27" i="28"/>
  <c r="AP27" i="28"/>
  <c r="AY27" i="28"/>
  <c r="BH27" i="28"/>
  <c r="BR27" i="28"/>
  <c r="CB27" i="28"/>
  <c r="CK27" i="28"/>
  <c r="CT27" i="28"/>
  <c r="DC27" i="28"/>
  <c r="AG28" i="28" a="1"/>
  <c r="AG28" i="28" s="1"/>
  <c r="AS28" i="28" a="1"/>
  <c r="AS28" i="28" s="1"/>
  <c r="AY28" i="28" a="1"/>
  <c r="AY28" i="28" s="1"/>
  <c r="BE28" i="28" a="1"/>
  <c r="BE28" i="28" s="1"/>
  <c r="BK28" i="28" a="1"/>
  <c r="BK28" i="28" s="1"/>
  <c r="BZ28" i="28" a="1"/>
  <c r="BZ28" i="28" s="1"/>
  <c r="CO28" i="28" a="1"/>
  <c r="CO28" i="28" s="1"/>
  <c r="DJ28" i="28" a="1"/>
  <c r="DJ28" i="28" s="1"/>
  <c r="BD46" i="28" a="1"/>
  <c r="BD46" i="28" s="1"/>
  <c r="AO40" i="28" a="1"/>
  <c r="AO40" i="28" s="1"/>
  <c r="AO34" i="28" a="1"/>
  <c r="AO34" i="28" s="1"/>
  <c r="AO46" i="28" a="1"/>
  <c r="AO46" i="28" s="1"/>
  <c r="AO43" i="28" a="1"/>
  <c r="AO43" i="28" s="1"/>
  <c r="BM46" i="28" a="1"/>
  <c r="BM46" i="28" s="1"/>
  <c r="BM43" i="28" a="1"/>
  <c r="BM43" i="28" s="1"/>
  <c r="BM40" i="28" a="1"/>
  <c r="BM40" i="28" s="1"/>
  <c r="BM34" i="28" a="1"/>
  <c r="BM34" i="28" s="1"/>
  <c r="BW7" i="28"/>
  <c r="AL21" i="28" a="1"/>
  <c r="AL21" i="28" s="1"/>
  <c r="BL23" i="28"/>
  <c r="M24" i="28" a="1"/>
  <c r="M24" i="28" s="1"/>
  <c r="BB37" i="28" a="1"/>
  <c r="BB37" i="28" s="1"/>
  <c r="Z40" i="28" a="1"/>
  <c r="Z40" i="28" s="1"/>
  <c r="Z34" i="28" a="1"/>
  <c r="Z34" i="28" s="1"/>
  <c r="Z49" i="28" a="1"/>
  <c r="Z49" i="28" s="1"/>
  <c r="AP34" i="28" a="1"/>
  <c r="AP34" i="28" s="1"/>
  <c r="AP40" i="28" a="1"/>
  <c r="AP40" i="28" s="1"/>
  <c r="BF34" i="28" a="1"/>
  <c r="BF34" i="28" s="1"/>
  <c r="BF40" i="28" a="1"/>
  <c r="BF40" i="28" s="1"/>
  <c r="BW5" i="28"/>
  <c r="DK5" i="28"/>
  <c r="DK21" i="28" s="1" a="1"/>
  <c r="DK21" i="28" s="1"/>
  <c r="CK10" i="28"/>
  <c r="DA10" i="28"/>
  <c r="DA20" i="28" s="1"/>
  <c r="CS13" i="28"/>
  <c r="CS21" i="28" s="1" a="1"/>
  <c r="CS21" i="28" s="1"/>
  <c r="DI13" i="28"/>
  <c r="W17" i="28"/>
  <c r="N20" i="28"/>
  <c r="AF20" i="28"/>
  <c r="AV20" i="28"/>
  <c r="BD20" i="28"/>
  <c r="BU20" i="28"/>
  <c r="CC20" i="28"/>
  <c r="CS20" i="28"/>
  <c r="AH21" i="28" a="1"/>
  <c r="AH21" i="28" s="1"/>
  <c r="AQ21" i="28" a="1"/>
  <c r="AQ21" i="28" s="1"/>
  <c r="I12" i="32" a="1"/>
  <c r="I12" i="32" s="1"/>
  <c r="I8" i="32" a="1"/>
  <c r="I8" i="32" s="1"/>
  <c r="I11" i="32" a="1"/>
  <c r="I11" i="32" s="1"/>
  <c r="I7" i="32" a="1"/>
  <c r="I7" i="32" s="1"/>
  <c r="I14" i="32" a="1"/>
  <c r="I14" i="32" s="1"/>
  <c r="I10" i="32" a="1"/>
  <c r="I10" i="32" s="1"/>
  <c r="I6" i="32" a="1"/>
  <c r="I6" i="32" s="1"/>
  <c r="I13" i="32" a="1"/>
  <c r="I13" i="32" s="1"/>
  <c r="I9" i="32" a="1"/>
  <c r="I9" i="32" s="1"/>
  <c r="H7" i="32"/>
  <c r="M46" i="28" a="1"/>
  <c r="M46" i="28" s="1"/>
  <c r="M40" i="28" a="1"/>
  <c r="M40" i="28" s="1"/>
  <c r="AA46" i="28" a="1"/>
  <c r="AA46" i="28" s="1"/>
  <c r="AA40" i="28" a="1"/>
  <c r="AA40" i="28" s="1"/>
  <c r="AA43" i="28" a="1"/>
  <c r="AA43" i="28" s="1"/>
  <c r="AA34" i="28" a="1"/>
  <c r="AA34" i="28" s="1"/>
  <c r="AI40" i="28" a="1"/>
  <c r="AI40" i="28" s="1"/>
  <c r="AI43" i="28" a="1"/>
  <c r="AI43" i="28" s="1"/>
  <c r="AI46" i="28" a="1"/>
  <c r="AI46" i="28" s="1"/>
  <c r="AI49" i="28" a="1"/>
  <c r="AI49" i="28" s="1"/>
  <c r="AI34" i="28" a="1"/>
  <c r="AI34" i="28" s="1"/>
  <c r="AQ43" i="28" a="1"/>
  <c r="AQ43" i="28" s="1"/>
  <c r="AQ46" i="28" a="1"/>
  <c r="AQ46" i="28" s="1"/>
  <c r="AQ40" i="28" a="1"/>
  <c r="AQ40" i="28" s="1"/>
  <c r="AQ34" i="28" a="1"/>
  <c r="AQ34" i="28" s="1"/>
  <c r="AY46" i="28" a="1"/>
  <c r="AY46" i="28" s="1"/>
  <c r="AY43" i="28" a="1"/>
  <c r="AY43" i="28" s="1"/>
  <c r="AY40" i="28" a="1"/>
  <c r="AY40" i="28" s="1"/>
  <c r="AY34" i="28" a="1"/>
  <c r="AY34" i="28" s="1"/>
  <c r="BG46" i="28" a="1"/>
  <c r="BG46" i="28" s="1"/>
  <c r="BG40" i="28" a="1"/>
  <c r="BG40" i="28" s="1"/>
  <c r="BG43" i="28" a="1"/>
  <c r="BG43" i="28" s="1"/>
  <c r="BG34" i="28" a="1"/>
  <c r="BG34" i="28" s="1"/>
  <c r="BO34" i="28" a="1"/>
  <c r="BO34" i="28" s="1"/>
  <c r="BO40" i="28" a="1"/>
  <c r="BO40" i="28" s="1"/>
  <c r="BO43" i="28" a="1"/>
  <c r="BO43" i="28" s="1"/>
  <c r="BO46" i="28" a="1"/>
  <c r="BO46" i="28" s="1"/>
  <c r="BX5" i="28"/>
  <c r="BX28" i="28" s="1" a="1"/>
  <c r="BX28" i="28" s="1"/>
  <c r="CF5" i="28"/>
  <c r="CF21" i="28" s="1" a="1"/>
  <c r="CF21" i="28" s="1"/>
  <c r="CN5" i="28"/>
  <c r="CN28" i="28" s="1" a="1"/>
  <c r="CN28" i="28" s="1"/>
  <c r="CV5" i="28"/>
  <c r="DD5" i="28"/>
  <c r="BS6" i="28"/>
  <c r="DG6" i="28"/>
  <c r="Q7" i="28"/>
  <c r="Q24" i="28" s="1" a="1"/>
  <c r="Q24" i="28" s="1"/>
  <c r="N8" i="28"/>
  <c r="N49" i="28" s="1" a="1"/>
  <c r="N49" i="28" s="1"/>
  <c r="CG9" i="28"/>
  <c r="CO9" i="28"/>
  <c r="DE9" i="28"/>
  <c r="Q10" i="28"/>
  <c r="K13" i="32" s="1" a="1"/>
  <c r="K13" i="32" s="1"/>
  <c r="CL10" i="28"/>
  <c r="CL20" i="28" s="1"/>
  <c r="CT10" i="28"/>
  <c r="DB10" i="28"/>
  <c r="DJ10" i="28"/>
  <c r="DB11" i="28"/>
  <c r="DJ11" i="28"/>
  <c r="BW12" i="28"/>
  <c r="CE12" i="28"/>
  <c r="CE17" i="28" s="1"/>
  <c r="CM12" i="28"/>
  <c r="CM30" i="28" s="1"/>
  <c r="CU12" i="28"/>
  <c r="DC12" i="28"/>
  <c r="DK12" i="28"/>
  <c r="CT13" i="28"/>
  <c r="DB13" i="28"/>
  <c r="DB20" i="28" s="1"/>
  <c r="DJ13" i="28"/>
  <c r="DJ20" i="28" s="1"/>
  <c r="AS16" i="28"/>
  <c r="N17" i="28"/>
  <c r="AF17" i="28"/>
  <c r="AN17" i="28"/>
  <c r="AV17" i="28"/>
  <c r="BD17" i="28"/>
  <c r="BL17" i="28"/>
  <c r="CK17" i="28"/>
  <c r="CS17" i="28"/>
  <c r="O20" i="28"/>
  <c r="Y20" i="28"/>
  <c r="AG20" i="28"/>
  <c r="AO20" i="28"/>
  <c r="AW20" i="28"/>
  <c r="BE20" i="28"/>
  <c r="BM20" i="28"/>
  <c r="BV20" i="28"/>
  <c r="CD20" i="28"/>
  <c r="T21" i="28" a="1"/>
  <c r="T21" i="28" s="1"/>
  <c r="AD21" i="28" a="1"/>
  <c r="AD21" i="28" s="1"/>
  <c r="AM21" i="28" a="1"/>
  <c r="AM21" i="28" s="1"/>
  <c r="AR21" i="28" a="1"/>
  <c r="AR21" i="28" s="1"/>
  <c r="BA21" i="28" a="1"/>
  <c r="BA21" i="28" s="1"/>
  <c r="BJ21" i="28" a="1"/>
  <c r="BJ21" i="28" s="1"/>
  <c r="CZ21" i="28" a="1"/>
  <c r="CZ21" i="28" s="1"/>
  <c r="CS24" i="28" a="1"/>
  <c r="CS24" i="28" s="1"/>
  <c r="BU24" i="28" a="1"/>
  <c r="BU24" i="28" s="1"/>
  <c r="BP24" i="28" a="1"/>
  <c r="BP24" i="28" s="1"/>
  <c r="BL24" i="28" a="1"/>
  <c r="BL24" i="28" s="1"/>
  <c r="BH24" i="28" a="1"/>
  <c r="BH24" i="28" s="1"/>
  <c r="BD24" i="28" a="1"/>
  <c r="BD24" i="28" s="1"/>
  <c r="AZ24" i="28" a="1"/>
  <c r="AZ24" i="28" s="1"/>
  <c r="AV24" i="28" a="1"/>
  <c r="AV24" i="28" s="1"/>
  <c r="AR24" i="28" a="1"/>
  <c r="AR24" i="28" s="1"/>
  <c r="AN24" i="28" a="1"/>
  <c r="AN24" i="28" s="1"/>
  <c r="AJ24" i="28" a="1"/>
  <c r="AJ24" i="28" s="1"/>
  <c r="AF24" i="28" a="1"/>
  <c r="AF24" i="28" s="1"/>
  <c r="AB24" i="28" a="1"/>
  <c r="AB24" i="28" s="1"/>
  <c r="X24" i="28" a="1"/>
  <c r="X24" i="28" s="1"/>
  <c r="N24" i="28" a="1"/>
  <c r="N24" i="28" s="1"/>
  <c r="DK23" i="28"/>
  <c r="DC23" i="28"/>
  <c r="CU23" i="28"/>
  <c r="CM23" i="28"/>
  <c r="BN23" i="28"/>
  <c r="BF23" i="28"/>
  <c r="AX23" i="28"/>
  <c r="AP23" i="28"/>
  <c r="AH23" i="28"/>
  <c r="Z23" i="28"/>
  <c r="P23" i="28"/>
  <c r="T23" i="28"/>
  <c r="AD23" i="28"/>
  <c r="AM23" i="28"/>
  <c r="AV23" i="28"/>
  <c r="BE23" i="28"/>
  <c r="BO23" i="28"/>
  <c r="CZ23" i="28"/>
  <c r="T24" i="28" a="1"/>
  <c r="T24" i="28" s="1"/>
  <c r="AD24" i="28" a="1"/>
  <c r="AD24" i="28" s="1"/>
  <c r="AM24" i="28" a="1"/>
  <c r="AM24" i="28" s="1"/>
  <c r="BA24" i="28" a="1"/>
  <c r="BA24" i="28" s="1"/>
  <c r="BJ24" i="28" a="1"/>
  <c r="BJ24" i="28" s="1"/>
  <c r="CZ24" i="28" a="1"/>
  <c r="CZ24" i="28" s="1"/>
  <c r="N27" i="28"/>
  <c r="Y27" i="28"/>
  <c r="AH27" i="28"/>
  <c r="AQ27" i="28"/>
  <c r="AZ27" i="28"/>
  <c r="BI27" i="28"/>
  <c r="BT27" i="28"/>
  <c r="CC27" i="28"/>
  <c r="CL27" i="28"/>
  <c r="CU27" i="28"/>
  <c r="DD27" i="28"/>
  <c r="M28" i="28" a="1"/>
  <c r="M28" i="28" s="1"/>
  <c r="T28" i="28" a="1"/>
  <c r="T28" i="28" s="1"/>
  <c r="AB28" i="28" a="1"/>
  <c r="AB28" i="28" s="1"/>
  <c r="AM28" i="28" a="1"/>
  <c r="AM28" i="28" s="1"/>
  <c r="AT28" i="28" a="1"/>
  <c r="AT28" i="28" s="1"/>
  <c r="AZ28" i="28" a="1"/>
  <c r="AZ28" i="28" s="1"/>
  <c r="BT28" i="28" a="1"/>
  <c r="BT28" i="28" s="1"/>
  <c r="CV28" i="28" a="1"/>
  <c r="CV28" i="28" s="1"/>
  <c r="DD28" i="28" a="1"/>
  <c r="DD28" i="28" s="1"/>
  <c r="W30" i="28"/>
  <c r="AM30" i="28"/>
  <c r="AZ30" i="28"/>
  <c r="BM30" i="28"/>
  <c r="CR30" i="28"/>
  <c r="Y31" i="28" a="1"/>
  <c r="Y31" i="28" s="1"/>
  <c r="BV34" i="28" a="1"/>
  <c r="BV34" i="28" s="1"/>
  <c r="AD37" i="28" a="1"/>
  <c r="AD37" i="28" s="1"/>
  <c r="Y46" i="28" a="1"/>
  <c r="Y46" i="28" s="1"/>
  <c r="Y34" i="28" a="1"/>
  <c r="Y34" i="28" s="1"/>
  <c r="Y43" i="28" a="1"/>
  <c r="Y43" i="28" s="1"/>
  <c r="Y40" i="28" a="1"/>
  <c r="Y40" i="28" s="1"/>
  <c r="AB43" i="28" a="1"/>
  <c r="AB43" i="28" s="1"/>
  <c r="AB46" i="28" a="1"/>
  <c r="AB46" i="28" s="1"/>
  <c r="AR43" i="28" a="1"/>
  <c r="AR43" i="28" s="1"/>
  <c r="AR46" i="28" a="1"/>
  <c r="AR46" i="28" s="1"/>
  <c r="AR40" i="28" a="1"/>
  <c r="AR40" i="28" s="1"/>
  <c r="AR49" i="28" a="1"/>
  <c r="AR49" i="28" s="1"/>
  <c r="AR34" i="28" a="1"/>
  <c r="AR34" i="28" s="1"/>
  <c r="BH43" i="28" a="1"/>
  <c r="BH43" i="28" s="1"/>
  <c r="BH34" i="28" a="1"/>
  <c r="BH34" i="28" s="1"/>
  <c r="BH46" i="28" a="1"/>
  <c r="BH46" i="28" s="1"/>
  <c r="BH40" i="28" a="1"/>
  <c r="BH40" i="28" s="1"/>
  <c r="BY5" i="28"/>
  <c r="BY23" i="28" s="1"/>
  <c r="CO5" i="28"/>
  <c r="CO37" i="28" s="1" a="1"/>
  <c r="CO37" i="28" s="1"/>
  <c r="DE5" i="28"/>
  <c r="DF7" i="28"/>
  <c r="DF24" i="28" s="1" a="1"/>
  <c r="DF24" i="28" s="1"/>
  <c r="CE13" i="28"/>
  <c r="CU13" i="28"/>
  <c r="DK13" i="28"/>
  <c r="DK20" i="28" s="1"/>
  <c r="AL16" i="28"/>
  <c r="BB16" i="28"/>
  <c r="Y17" i="28"/>
  <c r="AO17" i="28"/>
  <c r="AW17" i="28"/>
  <c r="BM17" i="28"/>
  <c r="BV17" i="28"/>
  <c r="Z20" i="28"/>
  <c r="AX20" i="28"/>
  <c r="CU20" i="28"/>
  <c r="AI21" i="28" a="1"/>
  <c r="AI21" i="28" s="1"/>
  <c r="BO21" i="28" a="1"/>
  <c r="BO21" i="28" s="1"/>
  <c r="AW23" i="28"/>
  <c r="BG23" i="28"/>
  <c r="Z24" i="28" a="1"/>
  <c r="Z24" i="28" s="1"/>
  <c r="AI24" i="28" a="1"/>
  <c r="AI24" i="28" s="1"/>
  <c r="AW24" i="28" a="1"/>
  <c r="AW24" i="28" s="1"/>
  <c r="BF24" i="28" a="1"/>
  <c r="BF24" i="28" s="1"/>
  <c r="BO24" i="28" a="1"/>
  <c r="BO24" i="28" s="1"/>
  <c r="O27" i="28"/>
  <c r="Z27" i="28"/>
  <c r="AI27" i="28"/>
  <c r="AR27" i="28"/>
  <c r="BA27" i="28"/>
  <c r="BK27" i="28"/>
  <c r="BU27" i="28"/>
  <c r="CD27" i="28"/>
  <c r="CM27" i="28"/>
  <c r="CV27" i="28"/>
  <c r="DE27" i="28"/>
  <c r="N28" i="28" a="1"/>
  <c r="N28" i="28" s="1"/>
  <c r="U28" i="28" a="1"/>
  <c r="U28" i="28" s="1"/>
  <c r="AH28" i="28" a="1"/>
  <c r="AH28" i="28" s="1"/>
  <c r="BM28" i="28" a="1"/>
  <c r="BM28" i="28" s="1"/>
  <c r="BU28" i="28" a="1"/>
  <c r="BU28" i="28" s="1"/>
  <c r="CB28" i="28" a="1"/>
  <c r="CB28" i="28" s="1"/>
  <c r="CP28" i="28" a="1"/>
  <c r="CP28" i="28" s="1"/>
  <c r="DE28" i="28" a="1"/>
  <c r="DE28" i="28" s="1"/>
  <c r="AB34" i="28" a="1"/>
  <c r="AB34" i="28" s="1"/>
  <c r="AF37" i="28" a="1"/>
  <c r="AF37" i="28" s="1"/>
  <c r="AG46" i="28" a="1"/>
  <c r="AG46" i="28" s="1"/>
  <c r="AG43" i="28" a="1"/>
  <c r="AG43" i="28" s="1"/>
  <c r="AG34" i="28" a="1"/>
  <c r="AG34" i="28" s="1"/>
  <c r="AG40" i="28" a="1"/>
  <c r="AG40" i="28" s="1"/>
  <c r="BE46" i="28" a="1"/>
  <c r="BE46" i="28" s="1"/>
  <c r="BE34" i="28" a="1"/>
  <c r="BE34" i="28" s="1"/>
  <c r="BE43" i="28" a="1"/>
  <c r="BE43" i="28" s="1"/>
  <c r="M21" i="28" a="1"/>
  <c r="M21" i="28" s="1"/>
  <c r="AF31" i="28" a="1"/>
  <c r="AF31" i="28" s="1"/>
  <c r="AW46" i="28" a="1"/>
  <c r="AW46" i="28" s="1"/>
  <c r="N43" i="28" a="1"/>
  <c r="N43" i="28" s="1"/>
  <c r="N46" i="28" a="1"/>
  <c r="N46" i="28" s="1"/>
  <c r="N40" i="28" a="1"/>
  <c r="N40" i="28" s="1"/>
  <c r="AJ40" i="28" a="1"/>
  <c r="AJ40" i="28" s="1"/>
  <c r="AJ43" i="28" a="1"/>
  <c r="AJ43" i="28" s="1"/>
  <c r="AJ46" i="28" a="1"/>
  <c r="AJ46" i="28" s="1"/>
  <c r="AZ46" i="28" a="1"/>
  <c r="AZ46" i="28" s="1"/>
  <c r="AZ40" i="28" a="1"/>
  <c r="AZ40" i="28" s="1"/>
  <c r="AZ43" i="28" a="1"/>
  <c r="AZ43" i="28" s="1"/>
  <c r="BP40" i="28" a="1"/>
  <c r="BP40" i="28" s="1"/>
  <c r="BP46" i="28" a="1"/>
  <c r="BP46" i="28" s="1"/>
  <c r="BP43" i="28" a="1"/>
  <c r="BP43" i="28" s="1"/>
  <c r="BR7" i="28"/>
  <c r="BR23" i="28" s="1"/>
  <c r="BW13" i="28"/>
  <c r="BW20" i="28" s="1"/>
  <c r="CM13" i="28"/>
  <c r="CM20" i="28" s="1"/>
  <c r="DC13" i="28"/>
  <c r="DC37" i="28" s="1" a="1"/>
  <c r="DC37" i="28" s="1"/>
  <c r="P20" i="28"/>
  <c r="AH20" i="28"/>
  <c r="AP20" i="28"/>
  <c r="BF20" i="28"/>
  <c r="BN20" i="28"/>
  <c r="CE20" i="28"/>
  <c r="Z21" i="28" a="1"/>
  <c r="Z21" i="28" s="1"/>
  <c r="AN21" i="28" a="1"/>
  <c r="AN21" i="28" s="1"/>
  <c r="AW21" i="28" a="1"/>
  <c r="AW21" i="28" s="1"/>
  <c r="BF21" i="28" a="1"/>
  <c r="BF21" i="28" s="1"/>
  <c r="BU21" i="28" a="1"/>
  <c r="BU21" i="28" s="1"/>
  <c r="AN23" i="28"/>
  <c r="O5" i="28"/>
  <c r="AC34" i="28" a="1"/>
  <c r="AC34" i="28" s="1"/>
  <c r="AC43" i="28" a="1"/>
  <c r="AC43" i="28" s="1"/>
  <c r="AC40" i="28" a="1"/>
  <c r="AC40" i="28" s="1"/>
  <c r="AC46" i="28" a="1"/>
  <c r="AC46" i="28" s="1"/>
  <c r="AK43" i="28" a="1"/>
  <c r="AK43" i="28" s="1"/>
  <c r="AK46" i="28" a="1"/>
  <c r="AK46" i="28" s="1"/>
  <c r="AK34" i="28" a="1"/>
  <c r="AK34" i="28" s="1"/>
  <c r="AS46" i="28" a="1"/>
  <c r="AS46" i="28" s="1"/>
  <c r="AS40" i="28" a="1"/>
  <c r="AS40" i="28" s="1"/>
  <c r="AS34" i="28" a="1"/>
  <c r="AS34" i="28" s="1"/>
  <c r="AS43" i="28" a="1"/>
  <c r="AS43" i="28" s="1"/>
  <c r="BA43" i="28" a="1"/>
  <c r="BA43" i="28" s="1"/>
  <c r="BA40" i="28" a="1"/>
  <c r="BA40" i="28" s="1"/>
  <c r="BA34" i="28" a="1"/>
  <c r="BA34" i="28" s="1"/>
  <c r="BA46" i="28" a="1"/>
  <c r="BA46" i="28" s="1"/>
  <c r="BA37" i="28" a="1"/>
  <c r="BA37" i="28" s="1"/>
  <c r="BI43" i="28" a="1"/>
  <c r="BI43" i="28" s="1"/>
  <c r="BI46" i="28" a="1"/>
  <c r="BI46" i="28" s="1"/>
  <c r="BI40" i="28" a="1"/>
  <c r="BI40" i="28" s="1"/>
  <c r="BI34" i="28" a="1"/>
  <c r="BI34" i="28" s="1"/>
  <c r="BR5" i="28"/>
  <c r="O6" i="28"/>
  <c r="O37" i="28" s="1" a="1"/>
  <c r="O37" i="28" s="1"/>
  <c r="DA6" i="28"/>
  <c r="BS7" i="28"/>
  <c r="BS37" i="28" s="1" a="1"/>
  <c r="BS37" i="28" s="1"/>
  <c r="DG7" i="28"/>
  <c r="Q8" i="28"/>
  <c r="BS9" i="28"/>
  <c r="CN10" i="28"/>
  <c r="CN20" i="28" s="1"/>
  <c r="CV10" i="28"/>
  <c r="DD10" i="28"/>
  <c r="DD20" i="28" s="1"/>
  <c r="CV11" i="28"/>
  <c r="BY12" i="28"/>
  <c r="BY30" i="28" s="1"/>
  <c r="CG12" i="28"/>
  <c r="CO12" i="28"/>
  <c r="CO30" i="28" s="1"/>
  <c r="CW12" i="28"/>
  <c r="DE12" i="28"/>
  <c r="DE30" i="28" s="1"/>
  <c r="Q13" i="28"/>
  <c r="CV13" i="28"/>
  <c r="CV20" i="28" s="1"/>
  <c r="M16" i="28"/>
  <c r="W16" i="28"/>
  <c r="Z17" i="28"/>
  <c r="AH17" i="28"/>
  <c r="AP17" i="28"/>
  <c r="AX17" i="28"/>
  <c r="BF17" i="28"/>
  <c r="BN17" i="28"/>
  <c r="AA20" i="28"/>
  <c r="AI20" i="28"/>
  <c r="AQ20" i="28"/>
  <c r="AY20" i="28"/>
  <c r="BG20" i="28"/>
  <c r="BO20" i="28"/>
  <c r="BX20" i="28"/>
  <c r="CF20" i="28"/>
  <c r="U21" i="28" a="1"/>
  <c r="U21" i="28" s="1"/>
  <c r="AE21" i="28" a="1"/>
  <c r="AE21" i="28" s="1"/>
  <c r="AJ21" i="28" a="1"/>
  <c r="AJ21" i="28" s="1"/>
  <c r="AS21" i="28" a="1"/>
  <c r="AS21" i="28" s="1"/>
  <c r="BB21" i="28" a="1"/>
  <c r="BB21" i="28" s="1"/>
  <c r="BK21" i="28" a="1"/>
  <c r="BK21" i="28" s="1"/>
  <c r="BP21" i="28" a="1"/>
  <c r="BP21" i="28" s="1"/>
  <c r="J23" i="28"/>
  <c r="W23" i="28"/>
  <c r="AF23" i="28"/>
  <c r="AO23" i="28"/>
  <c r="AY23" i="28"/>
  <c r="BH23" i="28"/>
  <c r="CS23" i="28"/>
  <c r="U24" i="28" a="1"/>
  <c r="U24" i="28" s="1"/>
  <c r="AE24" i="28" a="1"/>
  <c r="AE24" i="28" s="1"/>
  <c r="AS24" i="28" a="1"/>
  <c r="AS24" i="28" s="1"/>
  <c r="BB24" i="28" a="1"/>
  <c r="BB24" i="28" s="1"/>
  <c r="BK24" i="28" a="1"/>
  <c r="BK24" i="28" s="1"/>
  <c r="P27" i="28"/>
  <c r="AA27" i="28"/>
  <c r="AJ27" i="28"/>
  <c r="AS27" i="28"/>
  <c r="BC27" i="28"/>
  <c r="BL27" i="28"/>
  <c r="BV27" i="28"/>
  <c r="CE27" i="28"/>
  <c r="CN27" i="28"/>
  <c r="CW27" i="28"/>
  <c r="DF27" i="28"/>
  <c r="W28" i="28" a="1"/>
  <c r="W28" i="28" s="1"/>
  <c r="AC28" i="28" a="1"/>
  <c r="AC28" i="28" s="1"/>
  <c r="AU28" i="28" a="1"/>
  <c r="AU28" i="28" s="1"/>
  <c r="BA28" i="28" a="1"/>
  <c r="BA28" i="28" s="1"/>
  <c r="BH28" i="28" a="1"/>
  <c r="BH28" i="28" s="1"/>
  <c r="CJ28" i="28" a="1"/>
  <c r="CJ28" i="28" s="1"/>
  <c r="CZ31" i="28" a="1"/>
  <c r="CZ31" i="28" s="1"/>
  <c r="CR31" i="28" a="1"/>
  <c r="CR31" i="28" s="1"/>
  <c r="CJ31" i="28" a="1"/>
  <c r="CJ31" i="28" s="1"/>
  <c r="CF31" i="28" a="1"/>
  <c r="CF31" i="28" s="1"/>
  <c r="BO31" i="28" a="1"/>
  <c r="BO31" i="28" s="1"/>
  <c r="BK31" i="28" a="1"/>
  <c r="BK31" i="28" s="1"/>
  <c r="BG31" i="28" a="1"/>
  <c r="BG31" i="28" s="1"/>
  <c r="BC31" i="28" a="1"/>
  <c r="BC31" i="28" s="1"/>
  <c r="AY31" i="28" a="1"/>
  <c r="AY31" i="28" s="1"/>
  <c r="AU31" i="28" a="1"/>
  <c r="AU31" i="28" s="1"/>
  <c r="AQ31" i="28" a="1"/>
  <c r="AQ31" i="28" s="1"/>
  <c r="AM31" i="28" a="1"/>
  <c r="AM31" i="28" s="1"/>
  <c r="AI31" i="28" a="1"/>
  <c r="AI31" i="28" s="1"/>
  <c r="AE31" i="28" a="1"/>
  <c r="AE31" i="28" s="1"/>
  <c r="AA31" i="28" a="1"/>
  <c r="AA31" i="28" s="1"/>
  <c r="W31" i="28" a="1"/>
  <c r="W31" i="28" s="1"/>
  <c r="Q31" i="28" a="1"/>
  <c r="Q31" i="28" s="1"/>
  <c r="M31" i="28" a="1"/>
  <c r="M31" i="28" s="1"/>
  <c r="DF30" i="28"/>
  <c r="CX30" i="28"/>
  <c r="CP30" i="28"/>
  <c r="CH30" i="28"/>
  <c r="BZ30" i="28"/>
  <c r="BR30" i="28"/>
  <c r="BI30" i="28"/>
  <c r="BA30" i="28"/>
  <c r="AS30" i="28"/>
  <c r="AK30" i="28"/>
  <c r="AC30" i="28"/>
  <c r="T30" i="28"/>
  <c r="I30" i="28"/>
  <c r="DK31" i="28" a="1"/>
  <c r="DK31" i="28" s="1"/>
  <c r="CM31" i="28" a="1"/>
  <c r="CM31" i="28" s="1"/>
  <c r="BN31" i="28" a="1"/>
  <c r="BN31" i="28" s="1"/>
  <c r="BJ31" i="28" a="1"/>
  <c r="BJ31" i="28" s="1"/>
  <c r="BF31" i="28" a="1"/>
  <c r="BF31" i="28" s="1"/>
  <c r="BB31" i="28" a="1"/>
  <c r="BB31" i="28" s="1"/>
  <c r="AX31" i="28" a="1"/>
  <c r="AX31" i="28" s="1"/>
  <c r="AT31" i="28" a="1"/>
  <c r="AT31" i="28" s="1"/>
  <c r="AP31" i="28" a="1"/>
  <c r="AP31" i="28" s="1"/>
  <c r="AL31" i="28" a="1"/>
  <c r="AL31" i="28" s="1"/>
  <c r="AH31" i="28" a="1"/>
  <c r="AH31" i="28" s="1"/>
  <c r="AD31" i="28" a="1"/>
  <c r="AD31" i="28" s="1"/>
  <c r="Z31" i="28" a="1"/>
  <c r="Z31" i="28" s="1"/>
  <c r="DK30" i="28"/>
  <c r="DC30" i="28"/>
  <c r="CE30" i="28"/>
  <c r="BN30" i="28"/>
  <c r="BF30" i="28"/>
  <c r="AX30" i="28"/>
  <c r="AP30" i="28"/>
  <c r="AH30" i="28"/>
  <c r="Z30" i="28"/>
  <c r="P30" i="28"/>
  <c r="DA31" i="28" a="1"/>
  <c r="DA31" i="28" s="1"/>
  <c r="CW31" i="28" a="1"/>
  <c r="CW31" i="28" s="1"/>
  <c r="BU31" i="28" a="1"/>
  <c r="BU31" i="28" s="1"/>
  <c r="BP31" i="28" a="1"/>
  <c r="BP31" i="28" s="1"/>
  <c r="BL31" i="28" a="1"/>
  <c r="BL31" i="28" s="1"/>
  <c r="BH31" i="28" a="1"/>
  <c r="BH31" i="28" s="1"/>
  <c r="BD31" i="28" a="1"/>
  <c r="BD31" i="28" s="1"/>
  <c r="AZ31" i="28" a="1"/>
  <c r="AZ31" i="28" s="1"/>
  <c r="AV31" i="28" a="1"/>
  <c r="AV31" i="28" s="1"/>
  <c r="AR31" i="28" a="1"/>
  <c r="AR31" i="28" s="1"/>
  <c r="AN31" i="28" a="1"/>
  <c r="AN31" i="28" s="1"/>
  <c r="BZ31" i="28" a="1"/>
  <c r="BZ31" i="28" s="1"/>
  <c r="BI31" i="28" a="1"/>
  <c r="BI31" i="28" s="1"/>
  <c r="BA31" i="28" a="1"/>
  <c r="BA31" i="28" s="1"/>
  <c r="AJ31" i="28" a="1"/>
  <c r="AJ31" i="28" s="1"/>
  <c r="AC31" i="28" a="1"/>
  <c r="AC31" i="28" s="1"/>
  <c r="P31" i="28" a="1"/>
  <c r="P31" i="28" s="1"/>
  <c r="DI30" i="28"/>
  <c r="CY30" i="28"/>
  <c r="CN30" i="28"/>
  <c r="CC30" i="28"/>
  <c r="BS30" i="28"/>
  <c r="BG30" i="28"/>
  <c r="AV30" i="28"/>
  <c r="AL30" i="28"/>
  <c r="AA30" i="28"/>
  <c r="N30" i="28"/>
  <c r="DB31" i="28" a="1"/>
  <c r="DB31" i="28" s="1"/>
  <c r="CT31" i="28" a="1"/>
  <c r="CT31" i="28" s="1"/>
  <c r="BV31" i="28" a="1"/>
  <c r="BV31" i="28" s="1"/>
  <c r="BM31" i="28" a="1"/>
  <c r="BM31" i="28" s="1"/>
  <c r="BE31" i="28" a="1"/>
  <c r="BE31" i="28" s="1"/>
  <c r="AW31" i="28" a="1"/>
  <c r="AW31" i="28" s="1"/>
  <c r="AO31" i="28" a="1"/>
  <c r="AO31" i="28" s="1"/>
  <c r="AB31" i="28" a="1"/>
  <c r="AB31" i="28" s="1"/>
  <c r="U31" i="28" a="1"/>
  <c r="U31" i="28" s="1"/>
  <c r="DG30" i="28"/>
  <c r="CV30" i="28"/>
  <c r="CA30" i="28"/>
  <c r="BO30" i="28"/>
  <c r="BD30" i="28"/>
  <c r="AT30" i="28"/>
  <c r="AI30" i="28"/>
  <c r="X30" i="28"/>
  <c r="J30" i="28"/>
  <c r="AB30" i="28"/>
  <c r="AO30" i="28"/>
  <c r="BC30" i="28"/>
  <c r="BT30" i="28"/>
  <c r="CG30" i="28"/>
  <c r="CT30" i="28"/>
  <c r="DJ30" i="28"/>
  <c r="M34" i="28" a="1"/>
  <c r="M34" i="28" s="1"/>
  <c r="AB40" i="28" a="1"/>
  <c r="AB40" i="28" s="1"/>
  <c r="BV40" i="28" a="1"/>
  <c r="BV40" i="28" s="1"/>
  <c r="BV46" i="28" a="1"/>
  <c r="BV46" i="28" s="1"/>
  <c r="BV43" i="28" a="1"/>
  <c r="BV43" i="28" s="1"/>
  <c r="J7" i="32"/>
  <c r="K14" i="32" a="1"/>
  <c r="K14" i="32" s="1"/>
  <c r="K9" i="32" a="1"/>
  <c r="K9" i="32" s="1"/>
  <c r="Q46" i="28" a="1"/>
  <c r="Q46" i="28" s="1"/>
  <c r="AD40" i="28" a="1"/>
  <c r="AD40" i="28" s="1"/>
  <c r="AL34" i="28" a="1"/>
  <c r="AL34" i="28" s="1"/>
  <c r="AL40" i="28" a="1"/>
  <c r="AL40" i="28" s="1"/>
  <c r="AT34" i="28" a="1"/>
  <c r="AT34" i="28" s="1"/>
  <c r="AT40" i="28" a="1"/>
  <c r="AT40" i="28" s="1"/>
  <c r="BB40" i="28" a="1"/>
  <c r="BB40" i="28" s="1"/>
  <c r="BB34" i="28" a="1"/>
  <c r="BB34" i="28" s="1"/>
  <c r="BJ34" i="28" a="1"/>
  <c r="BJ34" i="28" s="1"/>
  <c r="BJ40" i="28" a="1"/>
  <c r="BJ40" i="28" s="1"/>
  <c r="CA5" i="28"/>
  <c r="CI5" i="28"/>
  <c r="CI24" i="28" s="1" a="1"/>
  <c r="CI24" i="28" s="1"/>
  <c r="CQ5" i="28"/>
  <c r="CQ24" i="28" s="1" a="1"/>
  <c r="CQ24" i="28" s="1"/>
  <c r="CY5" i="28"/>
  <c r="DG5" i="28"/>
  <c r="DH7" i="28"/>
  <c r="DH23" i="28" s="1"/>
  <c r="N16" i="28"/>
  <c r="AF16" i="28"/>
  <c r="AN16" i="28"/>
  <c r="AV16" i="28"/>
  <c r="BD16" i="28"/>
  <c r="BL16" i="28"/>
  <c r="BU16" i="28"/>
  <c r="AA17" i="28"/>
  <c r="AQ17" i="28"/>
  <c r="R20" i="28"/>
  <c r="AB20" i="28"/>
  <c r="AJ20" i="28"/>
  <c r="AR20" i="28"/>
  <c r="AZ20" i="28"/>
  <c r="BH20" i="28"/>
  <c r="BP20" i="28"/>
  <c r="BY20" i="28"/>
  <c r="CG20" i="28"/>
  <c r="CW20" i="28"/>
  <c r="DE20" i="28"/>
  <c r="P21" i="28" a="1"/>
  <c r="P21" i="28" s="1"/>
  <c r="AA21" i="28" a="1"/>
  <c r="AA21" i="28" s="1"/>
  <c r="AF21" i="28" a="1"/>
  <c r="AF21" i="28" s="1"/>
  <c r="AO21" i="28" a="1"/>
  <c r="AO21" i="28" s="1"/>
  <c r="AX21" i="28" a="1"/>
  <c r="AX21" i="28" s="1"/>
  <c r="BG21" i="28" a="1"/>
  <c r="BG21" i="28" s="1"/>
  <c r="BL21" i="28" a="1"/>
  <c r="BL21" i="28" s="1"/>
  <c r="BV21" i="28" a="1"/>
  <c r="BV21" i="28" s="1"/>
  <c r="CN21" i="28" a="1"/>
  <c r="CN21" i="28" s="1"/>
  <c r="AG23" i="28"/>
  <c r="AZ23" i="28"/>
  <c r="CK23" i="28"/>
  <c r="CT23" i="28"/>
  <c r="AO24" i="28" a="1"/>
  <c r="AO24" i="28" s="1"/>
  <c r="AX24" i="28" a="1"/>
  <c r="AX24" i="28" s="1"/>
  <c r="BG24" i="28" a="1"/>
  <c r="BG24" i="28" s="1"/>
  <c r="BV24" i="28" a="1"/>
  <c r="BV24" i="28" s="1"/>
  <c r="Q27" i="28"/>
  <c r="AB27" i="28"/>
  <c r="AK27" i="28"/>
  <c r="AU27" i="28"/>
  <c r="BD27" i="28"/>
  <c r="BM27" i="28"/>
  <c r="BW27" i="28"/>
  <c r="CF27" i="28"/>
  <c r="CO27" i="28"/>
  <c r="CX27" i="28"/>
  <c r="DH27" i="28"/>
  <c r="X28" i="28" a="1"/>
  <c r="X28" i="28" s="1"/>
  <c r="AJ28" i="28" a="1"/>
  <c r="AJ28" i="28" s="1"/>
  <c r="AP28" i="28" a="1"/>
  <c r="AP28" i="28" s="1"/>
  <c r="AV28" i="28" a="1"/>
  <c r="AV28" i="28" s="1"/>
  <c r="BB28" i="28" a="1"/>
  <c r="BB28" i="28" s="1"/>
  <c r="CD28" i="28" a="1"/>
  <c r="CD28" i="28" s="1"/>
  <c r="CK28" i="28" a="1"/>
  <c r="CK28" i="28" s="1"/>
  <c r="CR28" i="28" a="1"/>
  <c r="CR28" i="28" s="1"/>
  <c r="DF28" i="28" a="1"/>
  <c r="DF28" i="28" s="1"/>
  <c r="M30" i="28"/>
  <c r="AK31" i="28" a="1"/>
  <c r="AK31" i="28" s="1"/>
  <c r="N34" i="28" a="1"/>
  <c r="N34" i="28" s="1"/>
  <c r="AD34" i="28" a="1"/>
  <c r="AD34" i="28" s="1"/>
  <c r="AZ34" i="28" a="1"/>
  <c r="AZ34" i="28" s="1"/>
  <c r="AO37" i="28" a="1"/>
  <c r="AO37" i="28" s="1"/>
  <c r="AK40" i="28" a="1"/>
  <c r="AK40" i="28" s="1"/>
  <c r="AB36" i="28"/>
  <c r="AX36" i="28"/>
  <c r="BY36" i="28"/>
  <c r="CY36" i="28"/>
  <c r="P37" i="28" a="1"/>
  <c r="P37" i="28" s="1"/>
  <c r="AR37" i="28" a="1"/>
  <c r="AR37" i="28" s="1"/>
  <c r="BP37" i="28" a="1"/>
  <c r="BP37" i="28" s="1"/>
  <c r="DF34" i="28" a="1"/>
  <c r="DF34" i="28" s="1"/>
  <c r="AF36" i="28"/>
  <c r="BF36" i="28"/>
  <c r="CF36" i="28"/>
  <c r="DB36" i="28"/>
  <c r="U37" i="28" a="1"/>
  <c r="U37" i="28" s="1"/>
  <c r="DH37" i="28" a="1"/>
  <c r="DH37" i="28" s="1"/>
  <c r="CZ37" i="28" a="1"/>
  <c r="CZ37" i="28" s="1"/>
  <c r="CR37" i="28" a="1"/>
  <c r="CR37" i="28" s="1"/>
  <c r="CN37" i="28" a="1"/>
  <c r="CN37" i="28" s="1"/>
  <c r="CF37" i="28" a="1"/>
  <c r="CF37" i="28" s="1"/>
  <c r="BO37" i="28" a="1"/>
  <c r="BO37" i="28" s="1"/>
  <c r="BK37" i="28" a="1"/>
  <c r="BK37" i="28" s="1"/>
  <c r="BG37" i="28" a="1"/>
  <c r="BG37" i="28" s="1"/>
  <c r="BC37" i="28" a="1"/>
  <c r="BC37" i="28" s="1"/>
  <c r="AY37" i="28" a="1"/>
  <c r="AY37" i="28" s="1"/>
  <c r="AU37" i="28" a="1"/>
  <c r="AU37" i="28" s="1"/>
  <c r="AQ37" i="28" a="1"/>
  <c r="AQ37" i="28" s="1"/>
  <c r="AM37" i="28" a="1"/>
  <c r="AM37" i="28" s="1"/>
  <c r="AI37" i="28" a="1"/>
  <c r="AI37" i="28" s="1"/>
  <c r="AE37" i="28" a="1"/>
  <c r="AE37" i="28" s="1"/>
  <c r="AA37" i="28" a="1"/>
  <c r="AA37" i="28" s="1"/>
  <c r="W37" i="28" a="1"/>
  <c r="W37" i="28" s="1"/>
  <c r="M37" i="28" a="1"/>
  <c r="M37" i="28" s="1"/>
  <c r="DF36" i="28"/>
  <c r="CX36" i="28"/>
  <c r="CP36" i="28"/>
  <c r="CH36" i="28"/>
  <c r="BZ36" i="28"/>
  <c r="BR36" i="28"/>
  <c r="BI36" i="28"/>
  <c r="BA36" i="28"/>
  <c r="AS36" i="28"/>
  <c r="AK36" i="28"/>
  <c r="AC36" i="28"/>
  <c r="T36" i="28"/>
  <c r="I36" i="28"/>
  <c r="BN37" i="28" a="1"/>
  <c r="BN37" i="28" s="1"/>
  <c r="BE37" i="28" a="1"/>
  <c r="BE37" i="28" s="1"/>
  <c r="AV37" i="28" a="1"/>
  <c r="AV37" i="28" s="1"/>
  <c r="AH37" i="28" a="1"/>
  <c r="AH37" i="28" s="1"/>
  <c r="Y37" i="28" a="1"/>
  <c r="Y37" i="28" s="1"/>
  <c r="N37" i="28" a="1"/>
  <c r="N37" i="28" s="1"/>
  <c r="DG36" i="28"/>
  <c r="CW36" i="28"/>
  <c r="CN36" i="28"/>
  <c r="CE36" i="28"/>
  <c r="BV36" i="28"/>
  <c r="BL36" i="28"/>
  <c r="BC36" i="28"/>
  <c r="AT36" i="28"/>
  <c r="AJ36" i="28"/>
  <c r="AA36" i="28"/>
  <c r="P36" i="28"/>
  <c r="BI37" i="28" a="1"/>
  <c r="BI37" i="28" s="1"/>
  <c r="AZ37" i="28" a="1"/>
  <c r="AZ37" i="28" s="1"/>
  <c r="AL37" i="28" a="1"/>
  <c r="AL37" i="28" s="1"/>
  <c r="AC37" i="28" a="1"/>
  <c r="AC37" i="28" s="1"/>
  <c r="DE36" i="28"/>
  <c r="CV36" i="28"/>
  <c r="CM36" i="28"/>
  <c r="CD36" i="28"/>
  <c r="BU36" i="28"/>
  <c r="BK36" i="28"/>
  <c r="BB36" i="28"/>
  <c r="AR36" i="28"/>
  <c r="AI36" i="28"/>
  <c r="Z36" i="28"/>
  <c r="O36" i="28"/>
  <c r="BM37" i="28" a="1"/>
  <c r="BM37" i="28" s="1"/>
  <c r="BD37" i="28" a="1"/>
  <c r="BD37" i="28" s="1"/>
  <c r="AP37" i="28" a="1"/>
  <c r="AP37" i="28" s="1"/>
  <c r="AG37" i="28" a="1"/>
  <c r="AG37" i="28" s="1"/>
  <c r="X37" i="28" a="1"/>
  <c r="X37" i="28" s="1"/>
  <c r="DD36" i="28"/>
  <c r="CU36" i="28"/>
  <c r="CL36" i="28"/>
  <c r="CC36" i="28"/>
  <c r="BT36" i="28"/>
  <c r="BJ36" i="28"/>
  <c r="AZ36" i="28"/>
  <c r="AQ36" i="28"/>
  <c r="AH36" i="28"/>
  <c r="Y36" i="28"/>
  <c r="N36" i="28"/>
  <c r="BH37" i="28" a="1"/>
  <c r="BH37" i="28" s="1"/>
  <c r="AT37" i="28" a="1"/>
  <c r="AT37" i="28" s="1"/>
  <c r="AK37" i="28" a="1"/>
  <c r="AK37" i="28" s="1"/>
  <c r="AB37" i="28" a="1"/>
  <c r="AB37" i="28" s="1"/>
  <c r="J37" i="28" a="1"/>
  <c r="J37" i="28" s="1"/>
  <c r="DC36" i="28"/>
  <c r="CT36" i="28"/>
  <c r="CK36" i="28"/>
  <c r="CB36" i="28"/>
  <c r="BS36" i="28"/>
  <c r="BH36" i="28"/>
  <c r="AY36" i="28"/>
  <c r="AP36" i="28"/>
  <c r="AG36" i="28"/>
  <c r="X36" i="28"/>
  <c r="M36" i="28"/>
  <c r="CD37" i="28" a="1"/>
  <c r="CD37" i="28" s="1"/>
  <c r="BU37" i="28" a="1"/>
  <c r="BU37" i="28" s="1"/>
  <c r="BF37" i="28" a="1"/>
  <c r="BF37" i="28" s="1"/>
  <c r="AW37" i="28" a="1"/>
  <c r="AW37" i="28" s="1"/>
  <c r="AN37" i="28" a="1"/>
  <c r="AN37" i="28" s="1"/>
  <c r="Z37" i="28" a="1"/>
  <c r="Z37" i="28" s="1"/>
  <c r="DI36" i="28"/>
  <c r="CZ36" i="28"/>
  <c r="CQ36" i="28"/>
  <c r="CG36" i="28"/>
  <c r="BX36" i="28"/>
  <c r="BN36" i="28"/>
  <c r="BE36" i="28"/>
  <c r="AV36" i="28"/>
  <c r="AM36" i="28"/>
  <c r="AD36" i="28"/>
  <c r="R36" i="28"/>
  <c r="AL36" i="28"/>
  <c r="BG36" i="28"/>
  <c r="CI36" i="28"/>
  <c r="DH36" i="28"/>
  <c r="AJ37" i="28" a="1"/>
  <c r="AJ37" i="28" s="1"/>
  <c r="DF37" i="28" a="1"/>
  <c r="DF37" i="28" s="1"/>
  <c r="J36" i="28"/>
  <c r="AN36" i="28"/>
  <c r="BM36" i="28"/>
  <c r="CJ36" i="28"/>
  <c r="DJ36" i="28"/>
  <c r="BJ37" i="28" a="1"/>
  <c r="BJ37" i="28" s="1"/>
  <c r="BV37" i="28" a="1"/>
  <c r="BV37" i="28" s="1"/>
  <c r="CI37" i="28" a="1"/>
  <c r="CI37" i="28" s="1"/>
  <c r="DF49" i="28" a="1"/>
  <c r="DF49" i="28" s="1"/>
  <c r="CP49" i="28" a="1"/>
  <c r="CP49" i="28" s="1"/>
  <c r="BV49" i="28" a="1"/>
  <c r="BV49" i="28" s="1"/>
  <c r="BM49" i="28" a="1"/>
  <c r="BM49" i="28" s="1"/>
  <c r="BI49" i="28" a="1"/>
  <c r="BI49" i="28" s="1"/>
  <c r="BE49" i="28" a="1"/>
  <c r="BE49" i="28" s="1"/>
  <c r="BA49" i="28" a="1"/>
  <c r="BA49" i="28" s="1"/>
  <c r="AW49" i="28" a="1"/>
  <c r="AW49" i="28" s="1"/>
  <c r="AS49" i="28" a="1"/>
  <c r="AS49" i="28" s="1"/>
  <c r="AO49" i="28" a="1"/>
  <c r="AO49" i="28" s="1"/>
  <c r="AK49" i="28" a="1"/>
  <c r="AK49" i="28" s="1"/>
  <c r="AG49" i="28" a="1"/>
  <c r="AG49" i="28" s="1"/>
  <c r="AC49" i="28" a="1"/>
  <c r="AC49" i="28" s="1"/>
  <c r="Y49" i="28" a="1"/>
  <c r="Y49" i="28" s="1"/>
  <c r="T49" i="28" a="1"/>
  <c r="T49" i="28" s="1"/>
  <c r="DJ48" i="28"/>
  <c r="DB48" i="28"/>
  <c r="CT48" i="28"/>
  <c r="CL48" i="28"/>
  <c r="CD48" i="28"/>
  <c r="BV48" i="28"/>
  <c r="BM48" i="28"/>
  <c r="BE48" i="28"/>
  <c r="AW48" i="28"/>
  <c r="CF49" i="28" a="1"/>
  <c r="CF49" i="28" s="1"/>
  <c r="BH49" i="28" a="1"/>
  <c r="BH49" i="28" s="1"/>
  <c r="AY49" i="28" a="1"/>
  <c r="AY49" i="28" s="1"/>
  <c r="AP49" i="28" a="1"/>
  <c r="AP49" i="28" s="1"/>
  <c r="AB49" i="28" a="1"/>
  <c r="AB49" i="28" s="1"/>
  <c r="Q49" i="28" a="1"/>
  <c r="Q49" i="28" s="1"/>
  <c r="DD48" i="28"/>
  <c r="CU48" i="28"/>
  <c r="CK48" i="28"/>
  <c r="CB48" i="28"/>
  <c r="BS48" i="28"/>
  <c r="BI48" i="28"/>
  <c r="AZ48" i="28"/>
  <c r="AQ48" i="28"/>
  <c r="AI48" i="28"/>
  <c r="AA48" i="28"/>
  <c r="Q48" i="28"/>
  <c r="BL49" i="28" a="1"/>
  <c r="BL49" i="28" s="1"/>
  <c r="BC49" i="28" a="1"/>
  <c r="BC49" i="28" s="1"/>
  <c r="AT49" i="28" a="1"/>
  <c r="AT49" i="28" s="1"/>
  <c r="AF49" i="28" a="1"/>
  <c r="AF49" i="28" s="1"/>
  <c r="W49" i="28" a="1"/>
  <c r="W49" i="28" s="1"/>
  <c r="J49" i="28" a="1"/>
  <c r="J49" i="28" s="1"/>
  <c r="DC48" i="28"/>
  <c r="CS48" i="28"/>
  <c r="CJ48" i="28"/>
  <c r="CA48" i="28"/>
  <c r="BR48" i="28"/>
  <c r="BH48" i="28"/>
  <c r="AY48" i="28"/>
  <c r="AP48" i="28"/>
  <c r="AH48" i="28"/>
  <c r="Z48" i="28"/>
  <c r="P48" i="28"/>
  <c r="DK49" i="28" a="1"/>
  <c r="DK49" i="28" s="1"/>
  <c r="CW49" i="28" a="1"/>
  <c r="CW49" i="28" s="1"/>
  <c r="BP49" i="28" a="1"/>
  <c r="BP49" i="28" s="1"/>
  <c r="BG49" i="28" a="1"/>
  <c r="BG49" i="28" s="1"/>
  <c r="AX49" i="28" a="1"/>
  <c r="AX49" i="28" s="1"/>
  <c r="AJ49" i="28" a="1"/>
  <c r="AJ49" i="28" s="1"/>
  <c r="AA49" i="28" a="1"/>
  <c r="AA49" i="28" s="1"/>
  <c r="P49" i="28" a="1"/>
  <c r="P49" i="28" s="1"/>
  <c r="DK48" i="28"/>
  <c r="DA48" i="28"/>
  <c r="CR48" i="28"/>
  <c r="CI48" i="28"/>
  <c r="BZ48" i="28"/>
  <c r="BP48" i="28"/>
  <c r="BG48" i="28"/>
  <c r="AX48" i="28"/>
  <c r="AO48" i="28"/>
  <c r="AG48" i="28"/>
  <c r="Y48" i="28"/>
  <c r="O48" i="28"/>
  <c r="CI49" i="28" a="1"/>
  <c r="CI49" i="28" s="1"/>
  <c r="BU49" i="28" a="1"/>
  <c r="BU49" i="28" s="1"/>
  <c r="BK49" i="28" a="1"/>
  <c r="BK49" i="28" s="1"/>
  <c r="BB49" i="28" a="1"/>
  <c r="BB49" i="28" s="1"/>
  <c r="AN49" i="28" a="1"/>
  <c r="AN49" i="28" s="1"/>
  <c r="AE49" i="28" a="1"/>
  <c r="AE49" i="28" s="1"/>
  <c r="U49" i="28" a="1"/>
  <c r="U49" i="28" s="1"/>
  <c r="DI48" i="28"/>
  <c r="CZ48" i="28"/>
  <c r="CQ48" i="28"/>
  <c r="CH48" i="28"/>
  <c r="BY48" i="28"/>
  <c r="BO48" i="28"/>
  <c r="BF48" i="28"/>
  <c r="AV48" i="28"/>
  <c r="AN48" i="28"/>
  <c r="AF48" i="28"/>
  <c r="X48" i="28"/>
  <c r="N48" i="28"/>
  <c r="CG49" i="28" a="1"/>
  <c r="CG49" i="28" s="1"/>
  <c r="BN49" i="28" a="1"/>
  <c r="BN49" i="28" s="1"/>
  <c r="AB48" i="28"/>
  <c r="AR48" i="28"/>
  <c r="BJ48" i="28"/>
  <c r="CC48" i="28"/>
  <c r="CV48" i="28"/>
  <c r="M49" i="28" a="1"/>
  <c r="M49" i="28" s="1"/>
  <c r="X49" i="28" a="1"/>
  <c r="X49" i="28" s="1"/>
  <c r="BT49" i="28" a="1"/>
  <c r="BT49" i="28" s="1"/>
  <c r="BH41" i="29" a="1"/>
  <c r="BH41" i="29" s="1"/>
  <c r="BH17" i="29"/>
  <c r="BH38" i="29" a="1"/>
  <c r="BH38" i="29" s="1"/>
  <c r="BH23" i="29" a="1"/>
  <c r="BH23" i="29" s="1"/>
  <c r="BP41" i="29" a="1"/>
  <c r="BP41" i="29" s="1"/>
  <c r="BP17" i="29"/>
  <c r="BP38" i="29" a="1"/>
  <c r="BP38" i="29" s="1"/>
  <c r="BP23" i="29" a="1"/>
  <c r="BP23" i="29" s="1"/>
  <c r="BP32" i="29" a="1"/>
  <c r="BP32" i="29" s="1"/>
  <c r="BX41" i="29" a="1"/>
  <c r="BX41" i="29" s="1"/>
  <c r="BX17" i="29"/>
  <c r="BX38" i="29" a="1"/>
  <c r="BX38" i="29" s="1"/>
  <c r="BX16" i="29"/>
  <c r="CF17" i="29"/>
  <c r="CF41" i="29" a="1"/>
  <c r="CF41" i="29" s="1"/>
  <c r="CF16" i="29"/>
  <c r="CN41" i="29" a="1"/>
  <c r="CN41" i="29" s="1"/>
  <c r="CN17" i="29"/>
  <c r="CN38" i="29" a="1"/>
  <c r="CN38" i="29" s="1"/>
  <c r="CN23" i="29" a="1"/>
  <c r="CN23" i="29" s="1"/>
  <c r="CV17" i="29"/>
  <c r="CV23" i="29" a="1"/>
  <c r="CV23" i="29" s="1"/>
  <c r="CV41" i="29" a="1"/>
  <c r="CV41" i="29" s="1"/>
  <c r="BK23" i="29" a="1"/>
  <c r="BK23" i="29" s="1"/>
  <c r="BK22" i="29"/>
  <c r="BS26" i="29" a="1"/>
  <c r="BS26" i="29" s="1"/>
  <c r="BS17" i="29"/>
  <c r="CA17" i="29"/>
  <c r="CA22" i="29"/>
  <c r="CQ23" i="29" a="1"/>
  <c r="CQ23" i="29" s="1"/>
  <c r="CQ22" i="29"/>
  <c r="CN16" i="29"/>
  <c r="BS22" i="29"/>
  <c r="CU26" i="29" a="1"/>
  <c r="CU26" i="29" s="1"/>
  <c r="CF32" i="29" a="1"/>
  <c r="CF32" i="29" s="1"/>
  <c r="CF38" i="29" a="1"/>
  <c r="CF38" i="29" s="1"/>
  <c r="I48" i="28"/>
  <c r="AC48" i="28"/>
  <c r="AS48" i="28"/>
  <c r="BK48" i="28"/>
  <c r="CE48" i="28"/>
  <c r="CW48" i="28"/>
  <c r="AH49" i="28" a="1"/>
  <c r="AH49" i="28" s="1"/>
  <c r="AQ49" i="28" a="1"/>
  <c r="AQ49" i="28" s="1"/>
  <c r="AZ49" i="28" a="1"/>
  <c r="AZ49" i="28" s="1"/>
  <c r="BI38" i="29" a="1"/>
  <c r="BI38" i="29" s="1"/>
  <c r="BI16" i="29"/>
  <c r="BI35" i="29" a="1"/>
  <c r="BI35" i="29" s="1"/>
  <c r="BI17" i="29"/>
  <c r="BQ38" i="29" a="1"/>
  <c r="BQ38" i="29" s="1"/>
  <c r="BQ35" i="29" a="1"/>
  <c r="BQ35" i="29" s="1"/>
  <c r="BQ16" i="29"/>
  <c r="BQ17" i="29"/>
  <c r="BQ22" i="29"/>
  <c r="BY23" i="29" a="1"/>
  <c r="BY23" i="29" s="1"/>
  <c r="CW38" i="29" a="1"/>
  <c r="CW38" i="29" s="1"/>
  <c r="BP16" i="29"/>
  <c r="CP16" i="29"/>
  <c r="CI26" i="29" a="1"/>
  <c r="CI26" i="29" s="1"/>
  <c r="DH43" i="28" a="1"/>
  <c r="DH43" i="28" s="1"/>
  <c r="R48" i="28"/>
  <c r="AJ48" i="28"/>
  <c r="BA48" i="28"/>
  <c r="BT48" i="28"/>
  <c r="CM48" i="28"/>
  <c r="DE48" i="28"/>
  <c r="AL49" i="28" a="1"/>
  <c r="AL49" i="28" s="1"/>
  <c r="AU49" i="28" a="1"/>
  <c r="AU49" i="28" s="1"/>
  <c r="BD49" i="28" a="1"/>
  <c r="BD49" i="28" s="1"/>
  <c r="BY49" i="28" a="1"/>
  <c r="BY49" i="28" s="1"/>
  <c r="BL22" i="29"/>
  <c r="BT22" i="29"/>
  <c r="CB22" i="29"/>
  <c r="CJ22" i="29"/>
  <c r="CR22" i="29"/>
  <c r="CB16" i="29"/>
  <c r="CQ17" i="29"/>
  <c r="BI20" i="29" a="1"/>
  <c r="BI20" i="29" s="1"/>
  <c r="CP20" i="29" a="1"/>
  <c r="CP20" i="29" s="1"/>
  <c r="CO22" i="29"/>
  <c r="CD23" i="29" a="1"/>
  <c r="CD23" i="29" s="1"/>
  <c r="T48" i="28"/>
  <c r="AK48" i="28"/>
  <c r="BB48" i="28"/>
  <c r="BU48" i="28"/>
  <c r="CN48" i="28"/>
  <c r="DF48" i="28"/>
  <c r="CZ49" i="28" a="1"/>
  <c r="CZ49" i="28" s="1"/>
  <c r="BM17" i="29"/>
  <c r="BU23" i="29" a="1"/>
  <c r="BU23" i="29" s="1"/>
  <c r="CC17" i="29"/>
  <c r="CS17" i="29"/>
  <c r="BJ20" i="29" a="1"/>
  <c r="BJ20" i="29" s="1"/>
  <c r="CI23" i="29" a="1"/>
  <c r="CI23" i="29" s="1"/>
  <c r="BK32" i="29" a="1"/>
  <c r="BK32" i="29" s="1"/>
  <c r="U48" i="28"/>
  <c r="AL48" i="28"/>
  <c r="BC48" i="28"/>
  <c r="BW48" i="28"/>
  <c r="CO48" i="28"/>
  <c r="DG48" i="28"/>
  <c r="AD49" i="28" a="1"/>
  <c r="AD49" i="28" s="1"/>
  <c r="AM49" i="28" a="1"/>
  <c r="AM49" i="28" s="1"/>
  <c r="AV49" i="28" a="1"/>
  <c r="AV49" i="28" s="1"/>
  <c r="BO49" i="28" a="1"/>
  <c r="BO49" i="28" s="1"/>
  <c r="BF44" i="29" a="1"/>
  <c r="BF44" i="29" s="1"/>
  <c r="BF17" i="29"/>
  <c r="BN23" i="29" a="1"/>
  <c r="BN23" i="29" s="1"/>
  <c r="BN17" i="29"/>
  <c r="BN44" i="29" a="1"/>
  <c r="BN44" i="29" s="1"/>
  <c r="BN16" i="29"/>
  <c r="BV44" i="29" a="1"/>
  <c r="BV44" i="29" s="1"/>
  <c r="BV17" i="29"/>
  <c r="BV23" i="29" a="1"/>
  <c r="BV23" i="29" s="1"/>
  <c r="BV16" i="29"/>
  <c r="CD17" i="29"/>
  <c r="CD26" i="29" a="1"/>
  <c r="CD26" i="29" s="1"/>
  <c r="CL44" i="29" a="1"/>
  <c r="CL44" i="29" s="1"/>
  <c r="CL17" i="29"/>
  <c r="CL23" i="29" a="1"/>
  <c r="CL23" i="29" s="1"/>
  <c r="CL32" i="29" a="1"/>
  <c r="CL32" i="29" s="1"/>
  <c r="CT23" i="29" a="1"/>
  <c r="CT23" i="29" s="1"/>
  <c r="CT44" i="29" a="1"/>
  <c r="CT44" i="29" s="1"/>
  <c r="CT17" i="29"/>
  <c r="CT26" i="29" a="1"/>
  <c r="CT26" i="29" s="1"/>
  <c r="CT16" i="29"/>
  <c r="BY35" i="29" a="1"/>
  <c r="BY35" i="29" s="1"/>
  <c r="BY17" i="29"/>
  <c r="CG22" i="29"/>
  <c r="CO35" i="29" a="1"/>
  <c r="CO35" i="29" s="1"/>
  <c r="CO17" i="29"/>
  <c r="CW17" i="29"/>
  <c r="CW22" i="29"/>
  <c r="CW23" i="29" a="1"/>
  <c r="CW23" i="29" s="1"/>
  <c r="BF16" i="29"/>
  <c r="BI22" i="29"/>
  <c r="BN26" i="29" a="1"/>
  <c r="BN26" i="29" s="1"/>
  <c r="CT29" i="29" a="1"/>
  <c r="CT29" i="29" s="1"/>
  <c r="R33" i="28"/>
  <c r="AB33" i="28"/>
  <c r="AJ33" i="28"/>
  <c r="AR33" i="28"/>
  <c r="AZ33" i="28"/>
  <c r="BH33" i="28"/>
  <c r="BP33" i="28"/>
  <c r="BY33" i="28"/>
  <c r="CG33" i="28"/>
  <c r="CO33" i="28"/>
  <c r="CW33" i="28"/>
  <c r="DE33" i="28"/>
  <c r="BK34" i="28" a="1"/>
  <c r="BK34" i="28" s="1"/>
  <c r="BP34" i="28" a="1"/>
  <c r="BP34" i="28" s="1"/>
  <c r="CI34" i="28" a="1"/>
  <c r="CI34" i="28" s="1"/>
  <c r="CR34" i="28" a="1"/>
  <c r="CR34" i="28" s="1"/>
  <c r="CW34" i="28" a="1"/>
  <c r="CW34" i="28" s="1"/>
  <c r="W48" i="28"/>
  <c r="AM48" i="28"/>
  <c r="BD48" i="28"/>
  <c r="BX48" i="28"/>
  <c r="CP48" i="28"/>
  <c r="DH48" i="28"/>
  <c r="BF49" i="28" a="1"/>
  <c r="BF49" i="28" s="1"/>
  <c r="BH16" i="29"/>
  <c r="CL16" i="29"/>
  <c r="CD20" i="29" a="1"/>
  <c r="CD20" i="29" s="1"/>
  <c r="CW20" i="29" a="1"/>
  <c r="CW20" i="29" s="1"/>
  <c r="CA32" i="29" a="1"/>
  <c r="CA32" i="29" s="1"/>
  <c r="BG35" i="29" a="1"/>
  <c r="BG35" i="29" s="1"/>
  <c r="BG22" i="29"/>
  <c r="BG26" i="29" a="1"/>
  <c r="BG26" i="29" s="1"/>
  <c r="BG23" i="29" a="1"/>
  <c r="BG23" i="29" s="1"/>
  <c r="BO35" i="29" a="1"/>
  <c r="BO35" i="29" s="1"/>
  <c r="BO22" i="29"/>
  <c r="BW35" i="29" a="1"/>
  <c r="BW35" i="29" s="1"/>
  <c r="BW22" i="29"/>
  <c r="BW26" i="29" a="1"/>
  <c r="BW26" i="29" s="1"/>
  <c r="CE35" i="29" a="1"/>
  <c r="CE35" i="29" s="1"/>
  <c r="CE22" i="29"/>
  <c r="CM35" i="29" a="1"/>
  <c r="CM35" i="29" s="1"/>
  <c r="CM22" i="29"/>
  <c r="CM26" i="29" a="1"/>
  <c r="CM26" i="29" s="1"/>
  <c r="CM23" i="29" a="1"/>
  <c r="CM23" i="29" s="1"/>
  <c r="CU35" i="29" a="1"/>
  <c r="CU35" i="29" s="1"/>
  <c r="CU22" i="29"/>
  <c r="BG16" i="29"/>
  <c r="CC16" i="29"/>
  <c r="CM16" i="29"/>
  <c r="CV20" i="29" a="1"/>
  <c r="CV20" i="29" s="1"/>
  <c r="CR20" i="29" a="1"/>
  <c r="CR20" i="29" s="1"/>
  <c r="CN20" i="29" a="1"/>
  <c r="CN20" i="29" s="1"/>
  <c r="CJ20" i="29" a="1"/>
  <c r="CJ20" i="29" s="1"/>
  <c r="CF20" i="29" a="1"/>
  <c r="CF20" i="29" s="1"/>
  <c r="CB20" i="29" a="1"/>
  <c r="CB20" i="29" s="1"/>
  <c r="BX20" i="29" a="1"/>
  <c r="BX20" i="29" s="1"/>
  <c r="BT20" i="29" a="1"/>
  <c r="BT20" i="29" s="1"/>
  <c r="BP20" i="29" a="1"/>
  <c r="BP20" i="29" s="1"/>
  <c r="BL20" i="29" a="1"/>
  <c r="BL20" i="29" s="1"/>
  <c r="BH20" i="29" a="1"/>
  <c r="BH20" i="29" s="1"/>
  <c r="BC20" i="29" a="1"/>
  <c r="BC20" i="29" s="1"/>
  <c r="AY20" i="29" a="1"/>
  <c r="AY20" i="29" s="1"/>
  <c r="AU20" i="29" a="1"/>
  <c r="AU20" i="29" s="1"/>
  <c r="AQ20" i="29" a="1"/>
  <c r="AQ20" i="29" s="1"/>
  <c r="AM20" i="29" a="1"/>
  <c r="AM20" i="29" s="1"/>
  <c r="AI20" i="29" a="1"/>
  <c r="AI20" i="29" s="1"/>
  <c r="AE20" i="29" a="1"/>
  <c r="AE20" i="29" s="1"/>
  <c r="AA20" i="29" a="1"/>
  <c r="AA20" i="29" s="1"/>
  <c r="W20" i="29" a="1"/>
  <c r="W20" i="29" s="1"/>
  <c r="S20" i="29" a="1"/>
  <c r="S20" i="29" s="1"/>
  <c r="O20" i="29" a="1"/>
  <c r="O20" i="29" s="1"/>
  <c r="J20" i="29" a="1"/>
  <c r="J20" i="29" s="1"/>
  <c r="CQ19" i="29"/>
  <c r="CI19" i="29"/>
  <c r="CA19" i="29"/>
  <c r="BS19" i="29"/>
  <c r="BK19" i="29"/>
  <c r="BB19" i="29"/>
  <c r="AT19" i="29"/>
  <c r="AL19" i="29"/>
  <c r="AD19" i="29"/>
  <c r="V19" i="29"/>
  <c r="N19" i="29"/>
  <c r="CU20" i="29" a="1"/>
  <c r="CU20" i="29" s="1"/>
  <c r="CQ20" i="29" a="1"/>
  <c r="CQ20" i="29" s="1"/>
  <c r="CM20" i="29" a="1"/>
  <c r="CM20" i="29" s="1"/>
  <c r="CI20" i="29" a="1"/>
  <c r="CI20" i="29" s="1"/>
  <c r="CE20" i="29" a="1"/>
  <c r="CE20" i="29" s="1"/>
  <c r="CA20" i="29" a="1"/>
  <c r="CA20" i="29" s="1"/>
  <c r="BW20" i="29" a="1"/>
  <c r="BW20" i="29" s="1"/>
  <c r="BS20" i="29" a="1"/>
  <c r="BS20" i="29" s="1"/>
  <c r="BO20" i="29" a="1"/>
  <c r="BO20" i="29" s="1"/>
  <c r="BK20" i="29" a="1"/>
  <c r="BK20" i="29" s="1"/>
  <c r="BG20" i="29" a="1"/>
  <c r="BG20" i="29" s="1"/>
  <c r="BB20" i="29" a="1"/>
  <c r="BB20" i="29" s="1"/>
  <c r="AX20" i="29" a="1"/>
  <c r="AX20" i="29" s="1"/>
  <c r="AT20" i="29" a="1"/>
  <c r="AT20" i="29" s="1"/>
  <c r="AP20" i="29" a="1"/>
  <c r="AP20" i="29" s="1"/>
  <c r="AL20" i="29" a="1"/>
  <c r="AL20" i="29" s="1"/>
  <c r="AH20" i="29" a="1"/>
  <c r="AH20" i="29" s="1"/>
  <c r="AD20" i="29" a="1"/>
  <c r="AD20" i="29" s="1"/>
  <c r="Z20" i="29" a="1"/>
  <c r="Z20" i="29" s="1"/>
  <c r="V20" i="29" a="1"/>
  <c r="V20" i="29" s="1"/>
  <c r="R20" i="29" a="1"/>
  <c r="R20" i="29" s="1"/>
  <c r="N20" i="29" a="1"/>
  <c r="N20" i="29" s="1"/>
  <c r="CW19" i="29"/>
  <c r="CO19" i="29"/>
  <c r="CG19" i="29"/>
  <c r="BY19" i="29"/>
  <c r="BQ19" i="29"/>
  <c r="BI19" i="29"/>
  <c r="AZ19" i="29"/>
  <c r="AR19" i="29"/>
  <c r="AJ19" i="29"/>
  <c r="AB19" i="29"/>
  <c r="T19" i="29"/>
  <c r="L19" i="29"/>
  <c r="S19" i="29"/>
  <c r="AE19" i="29"/>
  <c r="AO19" i="29"/>
  <c r="AY19" i="29"/>
  <c r="BL19" i="29"/>
  <c r="BV19" i="29"/>
  <c r="CF19" i="29"/>
  <c r="CR19" i="29"/>
  <c r="BV20" i="29" a="1"/>
  <c r="BV20" i="29" s="1"/>
  <c r="CC20" i="29" a="1"/>
  <c r="CC20" i="29" s="1"/>
  <c r="CE23" i="29" a="1"/>
  <c r="CE23" i="29" s="1"/>
  <c r="CX28" i="29"/>
  <c r="CP28" i="29"/>
  <c r="CH28" i="29"/>
  <c r="BZ28" i="29"/>
  <c r="BR28" i="29"/>
  <c r="BJ28" i="29"/>
  <c r="BA28" i="29"/>
  <c r="AS28" i="29"/>
  <c r="AK28" i="29"/>
  <c r="AC28" i="29"/>
  <c r="U28" i="29"/>
  <c r="M28" i="29"/>
  <c r="CV28" i="29"/>
  <c r="CN28" i="29"/>
  <c r="CF28" i="29"/>
  <c r="BX28" i="29"/>
  <c r="BP28" i="29"/>
  <c r="BH28" i="29"/>
  <c r="AY28" i="29"/>
  <c r="AQ28" i="29"/>
  <c r="AI28" i="29"/>
  <c r="AA28" i="29"/>
  <c r="S28" i="29"/>
  <c r="J28" i="29"/>
  <c r="CM29" i="29" a="1"/>
  <c r="CM29" i="29" s="1"/>
  <c r="BW29" i="29" a="1"/>
  <c r="BW29" i="29" s="1"/>
  <c r="BG29" i="29" a="1"/>
  <c r="BG29" i="29" s="1"/>
  <c r="AP29" i="29" a="1"/>
  <c r="AP29" i="29" s="1"/>
  <c r="Z29" i="29" a="1"/>
  <c r="Z29" i="29" s="1"/>
  <c r="CW28" i="29"/>
  <c r="CL28" i="29"/>
  <c r="CB28" i="29"/>
  <c r="BQ28" i="29"/>
  <c r="BF28" i="29"/>
  <c r="AU28" i="29"/>
  <c r="AJ28" i="29"/>
  <c r="Y28" i="29"/>
  <c r="O28" i="29"/>
  <c r="CW29" i="29" a="1"/>
  <c r="CW29" i="29" s="1"/>
  <c r="CR29" i="29" a="1"/>
  <c r="CR29" i="29" s="1"/>
  <c r="CL29" i="29" a="1"/>
  <c r="CL29" i="29" s="1"/>
  <c r="CG29" i="29" a="1"/>
  <c r="CG29" i="29" s="1"/>
  <c r="CB29" i="29" a="1"/>
  <c r="CB29" i="29" s="1"/>
  <c r="BV29" i="29" a="1"/>
  <c r="BV29" i="29" s="1"/>
  <c r="BQ29" i="29" a="1"/>
  <c r="BQ29" i="29" s="1"/>
  <c r="BL29" i="29" a="1"/>
  <c r="BL29" i="29" s="1"/>
  <c r="BF29" i="29" a="1"/>
  <c r="BF29" i="29" s="1"/>
  <c r="AZ29" i="29" a="1"/>
  <c r="AZ29" i="29" s="1"/>
  <c r="AU29" i="29" a="1"/>
  <c r="AU29" i="29" s="1"/>
  <c r="AO29" i="29" a="1"/>
  <c r="AO29" i="29" s="1"/>
  <c r="AJ29" i="29" a="1"/>
  <c r="AJ29" i="29" s="1"/>
  <c r="AE29" i="29" a="1"/>
  <c r="AE29" i="29" s="1"/>
  <c r="Y29" i="29" a="1"/>
  <c r="Y29" i="29" s="1"/>
  <c r="T29" i="29" a="1"/>
  <c r="T29" i="29" s="1"/>
  <c r="O29" i="29" a="1"/>
  <c r="O29" i="29" s="1"/>
  <c r="CU28" i="29"/>
  <c r="CK28" i="29"/>
  <c r="CA28" i="29"/>
  <c r="BO28" i="29"/>
  <c r="BD28" i="29"/>
  <c r="AT28" i="29"/>
  <c r="AH28" i="29"/>
  <c r="X28" i="29"/>
  <c r="N28" i="29"/>
  <c r="CQ29" i="29" a="1"/>
  <c r="CQ29" i="29" s="1"/>
  <c r="CA29" i="29" a="1"/>
  <c r="CA29" i="29" s="1"/>
  <c r="BK29" i="29" a="1"/>
  <c r="BK29" i="29" s="1"/>
  <c r="AT29" i="29" a="1"/>
  <c r="AT29" i="29" s="1"/>
  <c r="AD29" i="29" a="1"/>
  <c r="AD29" i="29" s="1"/>
  <c r="N29" i="29" a="1"/>
  <c r="N29" i="29" s="1"/>
  <c r="CT28" i="29"/>
  <c r="CJ28" i="29"/>
  <c r="BY28" i="29"/>
  <c r="BN28" i="29"/>
  <c r="BC28" i="29"/>
  <c r="AR28" i="29"/>
  <c r="AG28" i="29"/>
  <c r="W28" i="29"/>
  <c r="L28" i="29"/>
  <c r="CV29" i="29" a="1"/>
  <c r="CV29" i="29" s="1"/>
  <c r="CP29" i="29" a="1"/>
  <c r="CP29" i="29" s="1"/>
  <c r="CK29" i="29" a="1"/>
  <c r="CK29" i="29" s="1"/>
  <c r="CF29" i="29" a="1"/>
  <c r="CF29" i="29" s="1"/>
  <c r="BZ29" i="29" a="1"/>
  <c r="BZ29" i="29" s="1"/>
  <c r="BU29" i="29" a="1"/>
  <c r="BU29" i="29" s="1"/>
  <c r="BP29" i="29" a="1"/>
  <c r="BP29" i="29" s="1"/>
  <c r="BJ29" i="29" a="1"/>
  <c r="BJ29" i="29" s="1"/>
  <c r="BD29" i="29" a="1"/>
  <c r="BD29" i="29" s="1"/>
  <c r="AY29" i="29" a="1"/>
  <c r="AY29" i="29" s="1"/>
  <c r="AS29" i="29" a="1"/>
  <c r="AS29" i="29" s="1"/>
  <c r="AN29" i="29" a="1"/>
  <c r="AN29" i="29" s="1"/>
  <c r="AI29" i="29" a="1"/>
  <c r="AI29" i="29" s="1"/>
  <c r="AC29" i="29" a="1"/>
  <c r="AC29" i="29" s="1"/>
  <c r="X29" i="29" a="1"/>
  <c r="X29" i="29" s="1"/>
  <c r="S29" i="29" a="1"/>
  <c r="S29" i="29" s="1"/>
  <c r="M29" i="29" a="1"/>
  <c r="M29" i="29" s="1"/>
  <c r="CS28" i="29"/>
  <c r="CI28" i="29"/>
  <c r="BW28" i="29"/>
  <c r="BM28" i="29"/>
  <c r="BB28" i="29"/>
  <c r="AP28" i="29"/>
  <c r="AF28" i="29"/>
  <c r="V28" i="29"/>
  <c r="I28" i="29"/>
  <c r="CI29" i="29" a="1"/>
  <c r="CI29" i="29" s="1"/>
  <c r="BS29" i="29" a="1"/>
  <c r="BS29" i="29" s="1"/>
  <c r="BB29" i="29" a="1"/>
  <c r="BB29" i="29" s="1"/>
  <c r="AL29" i="29" a="1"/>
  <c r="AL29" i="29" s="1"/>
  <c r="V29" i="29" a="1"/>
  <c r="V29" i="29" s="1"/>
  <c r="CO28" i="29"/>
  <c r="CD28" i="29"/>
  <c r="BT28" i="29"/>
  <c r="BI28" i="29"/>
  <c r="AW28" i="29"/>
  <c r="AM28" i="29"/>
  <c r="AB28" i="29"/>
  <c r="Q28" i="29"/>
  <c r="CX29" i="29" a="1"/>
  <c r="CX29" i="29" s="1"/>
  <c r="CS29" i="29" a="1"/>
  <c r="CS29" i="29" s="1"/>
  <c r="CN29" i="29" a="1"/>
  <c r="CN29" i="29" s="1"/>
  <c r="CH29" i="29" a="1"/>
  <c r="CH29" i="29" s="1"/>
  <c r="CC29" i="29" a="1"/>
  <c r="CC29" i="29" s="1"/>
  <c r="BX29" i="29" a="1"/>
  <c r="BX29" i="29" s="1"/>
  <c r="BR29" i="29" a="1"/>
  <c r="BR29" i="29" s="1"/>
  <c r="BM29" i="29" a="1"/>
  <c r="BM29" i="29" s="1"/>
  <c r="BH29" i="29" a="1"/>
  <c r="BH29" i="29" s="1"/>
  <c r="BA29" i="29" a="1"/>
  <c r="BA29" i="29" s="1"/>
  <c r="AV29" i="29" a="1"/>
  <c r="AV29" i="29" s="1"/>
  <c r="AQ29" i="29" a="1"/>
  <c r="AQ29" i="29" s="1"/>
  <c r="AK29" i="29" a="1"/>
  <c r="AK29" i="29" s="1"/>
  <c r="AF29" i="29" a="1"/>
  <c r="AF29" i="29" s="1"/>
  <c r="AA29" i="29" a="1"/>
  <c r="AA29" i="29" s="1"/>
  <c r="U29" i="29" a="1"/>
  <c r="U29" i="29" s="1"/>
  <c r="P29" i="29" a="1"/>
  <c r="P29" i="29" s="1"/>
  <c r="J29" i="29" a="1"/>
  <c r="J29" i="29" s="1"/>
  <c r="CM28" i="29"/>
  <c r="CC28" i="29"/>
  <c r="BS28" i="29"/>
  <c r="BG28" i="29"/>
  <c r="AV28" i="29"/>
  <c r="AL28" i="29"/>
  <c r="Z28" i="29"/>
  <c r="P28" i="29"/>
  <c r="AZ28" i="29"/>
  <c r="CR28" i="29"/>
  <c r="AX29" i="29" a="1"/>
  <c r="AX29" i="29" s="1"/>
  <c r="BJ44" i="29" a="1"/>
  <c r="BJ44" i="29" s="1"/>
  <c r="BR44" i="29" a="1"/>
  <c r="BR44" i="29" s="1"/>
  <c r="BR26" i="29" a="1"/>
  <c r="BR26" i="29" s="1"/>
  <c r="BZ44" i="29" a="1"/>
  <c r="BZ44" i="29" s="1"/>
  <c r="CH44" i="29" a="1"/>
  <c r="CH44" i="29" s="1"/>
  <c r="CH26" i="29" a="1"/>
  <c r="CH26" i="29" s="1"/>
  <c r="CH23" i="29" a="1"/>
  <c r="CH23" i="29" s="1"/>
  <c r="CP44" i="29" a="1"/>
  <c r="CP44" i="29" s="1"/>
  <c r="CX44" i="29" a="1"/>
  <c r="CX44" i="29" s="1"/>
  <c r="CX26" i="29" a="1"/>
  <c r="CX26" i="29" s="1"/>
  <c r="BL16" i="29"/>
  <c r="CR16" i="29"/>
  <c r="BL17" i="29"/>
  <c r="BW17" i="29"/>
  <c r="CH17" i="29"/>
  <c r="CR17" i="29"/>
  <c r="M19" i="29"/>
  <c r="X19" i="29"/>
  <c r="AH19" i="29"/>
  <c r="AS19" i="29"/>
  <c r="BD19" i="29"/>
  <c r="BO19" i="29"/>
  <c r="BZ19" i="29"/>
  <c r="CK19" i="29"/>
  <c r="CU19" i="29"/>
  <c r="T20" i="29" a="1"/>
  <c r="T20" i="29" s="1"/>
  <c r="Y20" i="29" a="1"/>
  <c r="Y20" i="29" s="1"/>
  <c r="AJ20" i="29" a="1"/>
  <c r="AJ20" i="29" s="1"/>
  <c r="AO20" i="29" a="1"/>
  <c r="AO20" i="29" s="1"/>
  <c r="AZ20" i="29" a="1"/>
  <c r="AZ20" i="29" s="1"/>
  <c r="BF20" i="29" a="1"/>
  <c r="BF20" i="29" s="1"/>
  <c r="BR20" i="29" a="1"/>
  <c r="BR20" i="29" s="1"/>
  <c r="BY20" i="29" a="1"/>
  <c r="BY20" i="29" s="1"/>
  <c r="CX20" i="29" a="1"/>
  <c r="CX20" i="29" s="1"/>
  <c r="AD28" i="29"/>
  <c r="BU28" i="29"/>
  <c r="Q29" i="29" a="1"/>
  <c r="Q29" i="29" s="1"/>
  <c r="AM29" i="29" a="1"/>
  <c r="AM29" i="29" s="1"/>
  <c r="BI29" i="29" a="1"/>
  <c r="BI29" i="29" s="1"/>
  <c r="CD29" i="29" a="1"/>
  <c r="CD29" i="29" s="1"/>
  <c r="R39" i="28"/>
  <c r="AB39" i="28"/>
  <c r="AJ39" i="28"/>
  <c r="AR39" i="28"/>
  <c r="AZ39" i="28"/>
  <c r="BH39" i="28"/>
  <c r="BP39" i="28"/>
  <c r="BY39" i="28"/>
  <c r="CG39" i="28"/>
  <c r="CO39" i="28"/>
  <c r="CW39" i="28"/>
  <c r="Q42" i="28"/>
  <c r="AA42" i="28"/>
  <c r="AI42" i="28"/>
  <c r="AQ42" i="28"/>
  <c r="AY42" i="28"/>
  <c r="BG42" i="28"/>
  <c r="BO42" i="28"/>
  <c r="BX42" i="28"/>
  <c r="CF42" i="28"/>
  <c r="CN42" i="28"/>
  <c r="CV42" i="28"/>
  <c r="DD42" i="28"/>
  <c r="J43" i="28" a="1"/>
  <c r="J43" i="28" s="1"/>
  <c r="P43" i="28" a="1"/>
  <c r="P43" i="28" s="1"/>
  <c r="U43" i="28" a="1"/>
  <c r="U43" i="28" s="1"/>
  <c r="Z43" i="28" a="1"/>
  <c r="Z43" i="28" s="1"/>
  <c r="AD43" i="28" a="1"/>
  <c r="AD43" i="28" s="1"/>
  <c r="AH43" i="28" a="1"/>
  <c r="AH43" i="28" s="1"/>
  <c r="AL43" i="28" a="1"/>
  <c r="AL43" i="28" s="1"/>
  <c r="AP43" i="28" a="1"/>
  <c r="AP43" i="28" s="1"/>
  <c r="AT43" i="28" a="1"/>
  <c r="AT43" i="28" s="1"/>
  <c r="AX43" i="28" a="1"/>
  <c r="AX43" i="28" s="1"/>
  <c r="BB43" i="28" a="1"/>
  <c r="BB43" i="28" s="1"/>
  <c r="BF43" i="28" a="1"/>
  <c r="BF43" i="28" s="1"/>
  <c r="BJ43" i="28" a="1"/>
  <c r="BJ43" i="28" s="1"/>
  <c r="BN43" i="28" a="1"/>
  <c r="BN43" i="28" s="1"/>
  <c r="CA43" i="28" a="1"/>
  <c r="CA43" i="28" s="1"/>
  <c r="CE43" i="28" a="1"/>
  <c r="CE43" i="28" s="1"/>
  <c r="CI43" i="28" a="1"/>
  <c r="CI43" i="28" s="1"/>
  <c r="CM43" i="28" a="1"/>
  <c r="CM43" i="28" s="1"/>
  <c r="P45" i="28"/>
  <c r="Z45" i="28"/>
  <c r="AH45" i="28"/>
  <c r="AP45" i="28"/>
  <c r="AX45" i="28"/>
  <c r="BF45" i="28"/>
  <c r="BN45" i="28"/>
  <c r="BW45" i="28"/>
  <c r="CE45" i="28"/>
  <c r="CM45" i="28"/>
  <c r="CU45" i="28"/>
  <c r="DC45" i="28"/>
  <c r="DK45" i="28"/>
  <c r="BK16" i="29"/>
  <c r="BS16" i="29"/>
  <c r="CA16" i="29"/>
  <c r="CI16" i="29"/>
  <c r="CQ16" i="29"/>
  <c r="BM16" i="29"/>
  <c r="BW16" i="29"/>
  <c r="CH16" i="29"/>
  <c r="CS16" i="29"/>
  <c r="O19" i="29"/>
  <c r="Y19" i="29"/>
  <c r="AI19" i="29"/>
  <c r="AU19" i="29"/>
  <c r="BF19" i="29"/>
  <c r="BP19" i="29"/>
  <c r="CB19" i="29"/>
  <c r="CL19" i="29"/>
  <c r="CV19" i="29"/>
  <c r="BM20" i="29" a="1"/>
  <c r="BM20" i="29" s="1"/>
  <c r="CL20" i="29" a="1"/>
  <c r="CL20" i="29" s="1"/>
  <c r="CS20" i="29" a="1"/>
  <c r="CS20" i="29" s="1"/>
  <c r="CU23" i="29" a="1"/>
  <c r="CU23" i="29" s="1"/>
  <c r="AE28" i="29"/>
  <c r="BV28" i="29"/>
  <c r="R29" i="29" a="1"/>
  <c r="R29" i="29" s="1"/>
  <c r="CE29" i="29" a="1"/>
  <c r="CE29" i="29" s="1"/>
  <c r="R42" i="28"/>
  <c r="AB42" i="28"/>
  <c r="AJ42" i="28"/>
  <c r="AR42" i="28"/>
  <c r="AZ42" i="28"/>
  <c r="BH42" i="28"/>
  <c r="BP42" i="28"/>
  <c r="BY42" i="28"/>
  <c r="CG42" i="28"/>
  <c r="CO42" i="28"/>
  <c r="CW42" i="28"/>
  <c r="DE42" i="28"/>
  <c r="Q45" i="28"/>
  <c r="AA45" i="28"/>
  <c r="AI45" i="28"/>
  <c r="AQ45" i="28"/>
  <c r="AY45" i="28"/>
  <c r="BG45" i="28"/>
  <c r="BO45" i="28"/>
  <c r="BX45" i="28"/>
  <c r="CF45" i="28"/>
  <c r="CN45" i="28"/>
  <c r="CV45" i="28"/>
  <c r="DD45" i="28"/>
  <c r="J46" i="28" a="1"/>
  <c r="J46" i="28" s="1"/>
  <c r="P46" i="28" a="1"/>
  <c r="P46" i="28" s="1"/>
  <c r="U46" i="28" a="1"/>
  <c r="U46" i="28" s="1"/>
  <c r="Z46" i="28" a="1"/>
  <c r="Z46" i="28" s="1"/>
  <c r="AD46" i="28" a="1"/>
  <c r="AD46" i="28" s="1"/>
  <c r="AH46" i="28" a="1"/>
  <c r="AH46" i="28" s="1"/>
  <c r="AL46" i="28" a="1"/>
  <c r="AL46" i="28" s="1"/>
  <c r="AP46" i="28" a="1"/>
  <c r="AP46" i="28" s="1"/>
  <c r="AT46" i="28" a="1"/>
  <c r="AT46" i="28" s="1"/>
  <c r="AX46" i="28" a="1"/>
  <c r="AX46" i="28" s="1"/>
  <c r="BB46" i="28" a="1"/>
  <c r="BB46" i="28" s="1"/>
  <c r="BF46" i="28" a="1"/>
  <c r="BF46" i="28" s="1"/>
  <c r="BJ46" i="28" a="1"/>
  <c r="BJ46" i="28" s="1"/>
  <c r="BN46" i="28" a="1"/>
  <c r="BN46" i="28" s="1"/>
  <c r="BW46" i="28" a="1"/>
  <c r="BW46" i="28" s="1"/>
  <c r="CI46" i="28" a="1"/>
  <c r="CI46" i="28" s="1"/>
  <c r="BL41" i="29" a="1"/>
  <c r="BL41" i="29" s="1"/>
  <c r="BT41" i="29" a="1"/>
  <c r="BT41" i="29" s="1"/>
  <c r="BT23" i="29" a="1"/>
  <c r="BT23" i="29" s="1"/>
  <c r="CB41" i="29" a="1"/>
  <c r="CB41" i="29" s="1"/>
  <c r="CB23" i="29" a="1"/>
  <c r="CB23" i="29" s="1"/>
  <c r="CJ41" i="29" a="1"/>
  <c r="CJ41" i="29" s="1"/>
  <c r="CJ23" i="29" a="1"/>
  <c r="CJ23" i="29" s="1"/>
  <c r="CR41" i="29" a="1"/>
  <c r="CR41" i="29" s="1"/>
  <c r="CJ16" i="29"/>
  <c r="BO17" i="29"/>
  <c r="BZ17" i="29"/>
  <c r="CJ17" i="29"/>
  <c r="CU17" i="29"/>
  <c r="P19" i="29"/>
  <c r="Z19" i="29"/>
  <c r="AK19" i="29"/>
  <c r="AV19" i="29"/>
  <c r="BG19" i="29"/>
  <c r="BR19" i="29"/>
  <c r="CC19" i="29"/>
  <c r="CM19" i="29"/>
  <c r="CX19" i="29"/>
  <c r="P20" i="29" a="1"/>
  <c r="P20" i="29" s="1"/>
  <c r="U20" i="29" a="1"/>
  <c r="U20" i="29" s="1"/>
  <c r="AF20" i="29" a="1"/>
  <c r="AF20" i="29" s="1"/>
  <c r="AK20" i="29" a="1"/>
  <c r="AK20" i="29" s="1"/>
  <c r="AV20" i="29" a="1"/>
  <c r="AV20" i="29" s="1"/>
  <c r="BA20" i="29" a="1"/>
  <c r="BA20" i="29" s="1"/>
  <c r="BZ20" i="29" a="1"/>
  <c r="BZ20" i="29" s="1"/>
  <c r="CG20" i="29" a="1"/>
  <c r="CG20" i="29" s="1"/>
  <c r="CR23" i="29" a="1"/>
  <c r="CR23" i="29" s="1"/>
  <c r="AN28" i="29"/>
  <c r="CE28" i="29"/>
  <c r="W29" i="29" a="1"/>
  <c r="W29" i="29" s="1"/>
  <c r="AR29" i="29" a="1"/>
  <c r="AR29" i="29" s="1"/>
  <c r="BN29" i="29" a="1"/>
  <c r="BN29" i="29" s="1"/>
  <c r="CJ29" i="29" a="1"/>
  <c r="CJ29" i="29" s="1"/>
  <c r="R45" i="28"/>
  <c r="AB45" i="28"/>
  <c r="AJ45" i="28"/>
  <c r="AR45" i="28"/>
  <c r="AZ45" i="28"/>
  <c r="BH45" i="28"/>
  <c r="BP45" i="28"/>
  <c r="BY45" i="28"/>
  <c r="CG45" i="28"/>
  <c r="CO45" i="28"/>
  <c r="CW45" i="28"/>
  <c r="BM35" i="29" a="1"/>
  <c r="BM35" i="29" s="1"/>
  <c r="BM38" i="29" a="1"/>
  <c r="BM38" i="29" s="1"/>
  <c r="BM23" i="29" a="1"/>
  <c r="BM23" i="29" s="1"/>
  <c r="BM22" i="29"/>
  <c r="BU35" i="29" a="1"/>
  <c r="BU35" i="29" s="1"/>
  <c r="BU38" i="29" a="1"/>
  <c r="BU38" i="29" s="1"/>
  <c r="BU22" i="29"/>
  <c r="CC35" i="29" a="1"/>
  <c r="CC35" i="29" s="1"/>
  <c r="CC38" i="29" a="1"/>
  <c r="CC38" i="29" s="1"/>
  <c r="CC22" i="29"/>
  <c r="CC23" i="29" a="1"/>
  <c r="CC23" i="29" s="1"/>
  <c r="CK35" i="29" a="1"/>
  <c r="CK35" i="29" s="1"/>
  <c r="CK38" i="29" a="1"/>
  <c r="CK38" i="29" s="1"/>
  <c r="CK23" i="29" a="1"/>
  <c r="CK23" i="29" s="1"/>
  <c r="CK22" i="29"/>
  <c r="CS35" i="29" a="1"/>
  <c r="CS35" i="29" s="1"/>
  <c r="CS38" i="29" a="1"/>
  <c r="CS38" i="29" s="1"/>
  <c r="CS23" i="29" a="1"/>
  <c r="CS23" i="29" s="1"/>
  <c r="CS22" i="29"/>
  <c r="BO16" i="29"/>
  <c r="BZ16" i="29"/>
  <c r="CK16" i="29"/>
  <c r="CU16" i="29"/>
  <c r="CK17" i="29"/>
  <c r="Q19" i="29"/>
  <c r="AA19" i="29"/>
  <c r="AM19" i="29"/>
  <c r="AW19" i="29"/>
  <c r="BH19" i="29"/>
  <c r="BT19" i="29"/>
  <c r="CD19" i="29"/>
  <c r="CN19" i="29"/>
  <c r="BN20" i="29" a="1"/>
  <c r="BN20" i="29" s="1"/>
  <c r="BU20" i="29" a="1"/>
  <c r="BU20" i="29" s="1"/>
  <c r="CT20" i="29" a="1"/>
  <c r="CT20" i="29" s="1"/>
  <c r="BR22" i="29"/>
  <c r="CH22" i="29"/>
  <c r="CX22" i="29"/>
  <c r="BL23" i="29" a="1"/>
  <c r="BL23" i="29" s="1"/>
  <c r="BZ23" i="29" a="1"/>
  <c r="BZ23" i="29" s="1"/>
  <c r="AO28" i="29"/>
  <c r="CG28" i="29"/>
  <c r="BO29" i="29" a="1"/>
  <c r="BO29" i="29" s="1"/>
  <c r="AX33" i="30"/>
  <c r="AY31" i="30"/>
  <c r="AX30" i="30"/>
  <c r="CQ35" i="29" a="1"/>
  <c r="CQ35" i="29" s="1"/>
  <c r="CX32" i="29" a="1"/>
  <c r="CX32" i="29" s="1"/>
  <c r="CT32" i="29" a="1"/>
  <c r="CT32" i="29" s="1"/>
  <c r="CP32" i="29" a="1"/>
  <c r="CP32" i="29" s="1"/>
  <c r="CW32" i="29" a="1"/>
  <c r="CW32" i="29" s="1"/>
  <c r="CS32" i="29" a="1"/>
  <c r="CS32" i="29" s="1"/>
  <c r="CO32" i="29" a="1"/>
  <c r="CO32" i="29" s="1"/>
  <c r="CR32" i="29" a="1"/>
  <c r="CR32" i="29" s="1"/>
  <c r="CH32" i="29" a="1"/>
  <c r="CH32" i="29" s="1"/>
  <c r="CD32" i="29" a="1"/>
  <c r="CD32" i="29" s="1"/>
  <c r="BZ32" i="29" a="1"/>
  <c r="BZ32" i="29" s="1"/>
  <c r="BV32" i="29" a="1"/>
  <c r="BV32" i="29" s="1"/>
  <c r="BR32" i="29" a="1"/>
  <c r="BR32" i="29" s="1"/>
  <c r="BN32" i="29" a="1"/>
  <c r="BN32" i="29" s="1"/>
  <c r="BJ32" i="29" a="1"/>
  <c r="BJ32" i="29" s="1"/>
  <c r="BF32" i="29" a="1"/>
  <c r="BF32" i="29" s="1"/>
  <c r="BA32" i="29" a="1"/>
  <c r="BA32" i="29" s="1"/>
  <c r="AW32" i="29" a="1"/>
  <c r="AW32" i="29" s="1"/>
  <c r="AS32" i="29" a="1"/>
  <c r="AS32" i="29" s="1"/>
  <c r="AO32" i="29" a="1"/>
  <c r="AO32" i="29" s="1"/>
  <c r="AK32" i="29" a="1"/>
  <c r="AK32" i="29" s="1"/>
  <c r="AG32" i="29" a="1"/>
  <c r="AG32" i="29" s="1"/>
  <c r="AC32" i="29" a="1"/>
  <c r="AC32" i="29" s="1"/>
  <c r="Y32" i="29" a="1"/>
  <c r="Y32" i="29" s="1"/>
  <c r="U32" i="29" a="1"/>
  <c r="U32" i="29" s="1"/>
  <c r="Q32" i="29" a="1"/>
  <c r="Q32" i="29" s="1"/>
  <c r="M32" i="29" a="1"/>
  <c r="M32" i="29" s="1"/>
  <c r="CU31" i="29"/>
  <c r="CM31" i="29"/>
  <c r="CE31" i="29"/>
  <c r="BW31" i="29"/>
  <c r="BO31" i="29"/>
  <c r="BG31" i="29"/>
  <c r="AX31" i="29"/>
  <c r="AP31" i="29"/>
  <c r="AH31" i="29"/>
  <c r="Z31" i="29"/>
  <c r="R31" i="29"/>
  <c r="I31" i="29"/>
  <c r="CQ32" i="29" a="1"/>
  <c r="CQ32" i="29" s="1"/>
  <c r="CK32" i="29" a="1"/>
  <c r="CK32" i="29" s="1"/>
  <c r="CG32" i="29" a="1"/>
  <c r="CG32" i="29" s="1"/>
  <c r="CC32" i="29" a="1"/>
  <c r="CC32" i="29" s="1"/>
  <c r="BY32" i="29" a="1"/>
  <c r="BY32" i="29" s="1"/>
  <c r="BU32" i="29" a="1"/>
  <c r="BU32" i="29" s="1"/>
  <c r="BQ32" i="29" a="1"/>
  <c r="BQ32" i="29" s="1"/>
  <c r="BM32" i="29" a="1"/>
  <c r="BM32" i="29" s="1"/>
  <c r="BI32" i="29" a="1"/>
  <c r="BI32" i="29" s="1"/>
  <c r="BD32" i="29" a="1"/>
  <c r="BD32" i="29" s="1"/>
  <c r="AZ32" i="29" a="1"/>
  <c r="AZ32" i="29" s="1"/>
  <c r="AV32" i="29" a="1"/>
  <c r="AV32" i="29" s="1"/>
  <c r="AR32" i="29" a="1"/>
  <c r="AR32" i="29" s="1"/>
  <c r="AN32" i="29" a="1"/>
  <c r="AN32" i="29" s="1"/>
  <c r="AJ32" i="29" a="1"/>
  <c r="AJ32" i="29" s="1"/>
  <c r="AF32" i="29" a="1"/>
  <c r="AF32" i="29" s="1"/>
  <c r="AB32" i="29" a="1"/>
  <c r="AB32" i="29" s="1"/>
  <c r="X32" i="29" a="1"/>
  <c r="X32" i="29" s="1"/>
  <c r="T32" i="29" a="1"/>
  <c r="T32" i="29" s="1"/>
  <c r="P32" i="29" a="1"/>
  <c r="P32" i="29" s="1"/>
  <c r="L32" i="29" a="1"/>
  <c r="L32" i="29" s="1"/>
  <c r="CS31" i="29"/>
  <c r="CK31" i="29"/>
  <c r="CC31" i="29"/>
  <c r="BU31" i="29"/>
  <c r="BM31" i="29"/>
  <c r="BD31" i="29"/>
  <c r="AV31" i="29"/>
  <c r="AN31" i="29"/>
  <c r="AF31" i="29"/>
  <c r="X31" i="29"/>
  <c r="P31" i="29"/>
  <c r="T31" i="29"/>
  <c r="AD31" i="29"/>
  <c r="AO31" i="29"/>
  <c r="AZ31" i="29"/>
  <c r="BK31" i="29"/>
  <c r="BV31" i="29"/>
  <c r="CG31" i="29"/>
  <c r="CQ31" i="29"/>
  <c r="R32" i="29" a="1"/>
  <c r="R32" i="29" s="1"/>
  <c r="W32" i="29" a="1"/>
  <c r="W32" i="29" s="1"/>
  <c r="AH32" i="29" a="1"/>
  <c r="AH32" i="29" s="1"/>
  <c r="AM32" i="29" a="1"/>
  <c r="AM32" i="29" s="1"/>
  <c r="AX32" i="29" a="1"/>
  <c r="AX32" i="29" s="1"/>
  <c r="BC32" i="29" a="1"/>
  <c r="BC32" i="29" s="1"/>
  <c r="BO32" i="29" a="1"/>
  <c r="BO32" i="29" s="1"/>
  <c r="BT32" i="29" a="1"/>
  <c r="BT32" i="29" s="1"/>
  <c r="CE32" i="29" a="1"/>
  <c r="CE32" i="29" s="1"/>
  <c r="CJ32" i="29" a="1"/>
  <c r="CJ32" i="29" s="1"/>
  <c r="CA23" i="29" a="1"/>
  <c r="CA23" i="29" s="1"/>
  <c r="O25" i="29"/>
  <c r="Y25" i="29"/>
  <c r="AH25" i="29"/>
  <c r="AQ25" i="29"/>
  <c r="AZ25" i="29"/>
  <c r="BJ25" i="29"/>
  <c r="BS25" i="29"/>
  <c r="CB25" i="29"/>
  <c r="CL25" i="29"/>
  <c r="CU25" i="29"/>
  <c r="R26" i="29" a="1"/>
  <c r="R26" i="29" s="1"/>
  <c r="AA26" i="29" a="1"/>
  <c r="AA26" i="29" s="1"/>
  <c r="AO26" i="29" a="1"/>
  <c r="AO26" i="29" s="1"/>
  <c r="AX26" i="29" a="1"/>
  <c r="AX26" i="29" s="1"/>
  <c r="M31" i="29"/>
  <c r="W31" i="29"/>
  <c r="AI31" i="29"/>
  <c r="AS31" i="29"/>
  <c r="BC31" i="29"/>
  <c r="BP31" i="29"/>
  <c r="BZ31" i="29"/>
  <c r="CJ31" i="29"/>
  <c r="CV31" i="29"/>
  <c r="CM32" i="29" a="1"/>
  <c r="CM32" i="29" s="1"/>
  <c r="CU32" i="29" a="1"/>
  <c r="CU32" i="29" s="1"/>
  <c r="AR41" i="30"/>
  <c r="AR38" i="30"/>
  <c r="AS39" i="30"/>
  <c r="AS40" i="30" s="1"/>
  <c r="AZ38" i="30"/>
  <c r="AZ41" i="30"/>
  <c r="BA39" i="30"/>
  <c r="BY38" i="29" a="1"/>
  <c r="BY38" i="29" s="1"/>
  <c r="CG38" i="29" a="1"/>
  <c r="CG38" i="29" s="1"/>
  <c r="CO38" i="29" a="1"/>
  <c r="CO38" i="29" s="1"/>
  <c r="BY16" i="29"/>
  <c r="CG16" i="29"/>
  <c r="CO16" i="29"/>
  <c r="CW16" i="29"/>
  <c r="Q22" i="29"/>
  <c r="Y22" i="29"/>
  <c r="AG22" i="29"/>
  <c r="AO22" i="29"/>
  <c r="AW22" i="29"/>
  <c r="BF22" i="29"/>
  <c r="BN22" i="29"/>
  <c r="BV22" i="29"/>
  <c r="CD22" i="29"/>
  <c r="CL22" i="29"/>
  <c r="CT22" i="29"/>
  <c r="AK23" i="29" a="1"/>
  <c r="AK23" i="29" s="1"/>
  <c r="AP23" i="29" a="1"/>
  <c r="AP23" i="29" s="1"/>
  <c r="AY23" i="29" a="1"/>
  <c r="AY23" i="29" s="1"/>
  <c r="BI23" i="29" a="1"/>
  <c r="BI23" i="29" s="1"/>
  <c r="BR23" i="29" a="1"/>
  <c r="BR23" i="29" s="1"/>
  <c r="BW23" i="29" a="1"/>
  <c r="BW23" i="29" s="1"/>
  <c r="CF23" i="29" a="1"/>
  <c r="CF23" i="29" s="1"/>
  <c r="CO23" i="29" a="1"/>
  <c r="CO23" i="29" s="1"/>
  <c r="CX23" i="29" a="1"/>
  <c r="CX23" i="29" s="1"/>
  <c r="Q25" i="29"/>
  <c r="Z25" i="29"/>
  <c r="AI25" i="29"/>
  <c r="AR25" i="29"/>
  <c r="BA25" i="29"/>
  <c r="BK25" i="29"/>
  <c r="BT25" i="29"/>
  <c r="CD25" i="29"/>
  <c r="CM25" i="29"/>
  <c r="CV25" i="29"/>
  <c r="N26" i="29" a="1"/>
  <c r="N26" i="29" s="1"/>
  <c r="W26" i="29" a="1"/>
  <c r="W26" i="29" s="1"/>
  <c r="AK26" i="29" a="1"/>
  <c r="AK26" i="29" s="1"/>
  <c r="AT26" i="29" a="1"/>
  <c r="AT26" i="29" s="1"/>
  <c r="BJ26" i="29" a="1"/>
  <c r="BJ26" i="29" s="1"/>
  <c r="BO26" i="29" a="1"/>
  <c r="BO26" i="29" s="1"/>
  <c r="BZ26" i="29" a="1"/>
  <c r="BZ26" i="29" s="1"/>
  <c r="CE26" i="29" a="1"/>
  <c r="CE26" i="29" s="1"/>
  <c r="CP26" i="29" a="1"/>
  <c r="CP26" i="29" s="1"/>
  <c r="N31" i="29"/>
  <c r="Y31" i="29"/>
  <c r="AJ31" i="29"/>
  <c r="AT31" i="29"/>
  <c r="BF31" i="29"/>
  <c r="BQ31" i="29"/>
  <c r="CA31" i="29"/>
  <c r="CL31" i="29"/>
  <c r="CW31" i="29"/>
  <c r="O32" i="29" a="1"/>
  <c r="O32" i="29" s="1"/>
  <c r="Z32" i="29" a="1"/>
  <c r="Z32" i="29" s="1"/>
  <c r="AE32" i="29" a="1"/>
  <c r="AE32" i="29" s="1"/>
  <c r="AP32" i="29" a="1"/>
  <c r="AP32" i="29" s="1"/>
  <c r="AU32" i="29" a="1"/>
  <c r="AU32" i="29" s="1"/>
  <c r="BG32" i="29" a="1"/>
  <c r="BG32" i="29" s="1"/>
  <c r="BL32" i="29" a="1"/>
  <c r="BL32" i="29" s="1"/>
  <c r="BW32" i="29" a="1"/>
  <c r="BW32" i="29" s="1"/>
  <c r="CB32" i="29" a="1"/>
  <c r="CB32" i="29" s="1"/>
  <c r="BS23" i="29" a="1"/>
  <c r="BS23" i="29" s="1"/>
  <c r="CW26" i="29" a="1"/>
  <c r="CW26" i="29" s="1"/>
  <c r="CS26" i="29" a="1"/>
  <c r="CS26" i="29" s="1"/>
  <c r="CO26" i="29" a="1"/>
  <c r="CO26" i="29" s="1"/>
  <c r="CK26" i="29" a="1"/>
  <c r="CK26" i="29" s="1"/>
  <c r="CG26" i="29" a="1"/>
  <c r="CG26" i="29" s="1"/>
  <c r="CC26" i="29" a="1"/>
  <c r="CC26" i="29" s="1"/>
  <c r="BY26" i="29" a="1"/>
  <c r="BY26" i="29" s="1"/>
  <c r="BU26" i="29" a="1"/>
  <c r="BU26" i="29" s="1"/>
  <c r="BQ26" i="29" a="1"/>
  <c r="BQ26" i="29" s="1"/>
  <c r="BM26" i="29" a="1"/>
  <c r="BM26" i="29" s="1"/>
  <c r="BI26" i="29" a="1"/>
  <c r="BI26" i="29" s="1"/>
  <c r="BD26" i="29" a="1"/>
  <c r="BD26" i="29" s="1"/>
  <c r="AZ26" i="29" a="1"/>
  <c r="AZ26" i="29" s="1"/>
  <c r="AV26" i="29" a="1"/>
  <c r="AV26" i="29" s="1"/>
  <c r="AR26" i="29" a="1"/>
  <c r="AR26" i="29" s="1"/>
  <c r="AN26" i="29" a="1"/>
  <c r="AN26" i="29" s="1"/>
  <c r="AJ26" i="29" a="1"/>
  <c r="AJ26" i="29" s="1"/>
  <c r="AF26" i="29" a="1"/>
  <c r="AF26" i="29" s="1"/>
  <c r="AB26" i="29" a="1"/>
  <c r="AB26" i="29" s="1"/>
  <c r="X26" i="29" a="1"/>
  <c r="X26" i="29" s="1"/>
  <c r="T26" i="29" a="1"/>
  <c r="T26" i="29" s="1"/>
  <c r="P26" i="29" a="1"/>
  <c r="P26" i="29" s="1"/>
  <c r="L26" i="29" a="1"/>
  <c r="L26" i="29" s="1"/>
  <c r="CS25" i="29"/>
  <c r="CK25" i="29"/>
  <c r="CC25" i="29"/>
  <c r="BU25" i="29"/>
  <c r="BM25" i="29"/>
  <c r="BD25" i="29"/>
  <c r="AV25" i="29"/>
  <c r="AN25" i="29"/>
  <c r="AF25" i="29"/>
  <c r="X25" i="29"/>
  <c r="P25" i="29"/>
  <c r="CV26" i="29" a="1"/>
  <c r="CV26" i="29" s="1"/>
  <c r="CR26" i="29" a="1"/>
  <c r="CR26" i="29" s="1"/>
  <c r="CN26" i="29" a="1"/>
  <c r="CN26" i="29" s="1"/>
  <c r="CJ26" i="29" a="1"/>
  <c r="CJ26" i="29" s="1"/>
  <c r="CF26" i="29" a="1"/>
  <c r="CF26" i="29" s="1"/>
  <c r="CB26" i="29" a="1"/>
  <c r="CB26" i="29" s="1"/>
  <c r="BX26" i="29" a="1"/>
  <c r="BX26" i="29" s="1"/>
  <c r="BT26" i="29" a="1"/>
  <c r="BT26" i="29" s="1"/>
  <c r="BP26" i="29" a="1"/>
  <c r="BP26" i="29" s="1"/>
  <c r="BL26" i="29" a="1"/>
  <c r="BL26" i="29" s="1"/>
  <c r="BH26" i="29" a="1"/>
  <c r="BH26" i="29" s="1"/>
  <c r="BC26" i="29" a="1"/>
  <c r="BC26" i="29" s="1"/>
  <c r="R25" i="29"/>
  <c r="AA25" i="29"/>
  <c r="AJ25" i="29"/>
  <c r="AS25" i="29"/>
  <c r="BB25" i="29"/>
  <c r="BL25" i="29"/>
  <c r="BV25" i="29"/>
  <c r="CE25" i="29"/>
  <c r="CN25" i="29"/>
  <c r="CW25" i="29"/>
  <c r="S26" i="29" a="1"/>
  <c r="S26" i="29" s="1"/>
  <c r="AG26" i="29" a="1"/>
  <c r="AG26" i="29" s="1"/>
  <c r="AP26" i="29" a="1"/>
  <c r="AP26" i="29" s="1"/>
  <c r="AY26" i="29" a="1"/>
  <c r="AY26" i="29" s="1"/>
  <c r="O31" i="29"/>
  <c r="AA31" i="29"/>
  <c r="AK31" i="29"/>
  <c r="AU31" i="29"/>
  <c r="BH31" i="29"/>
  <c r="BR31" i="29"/>
  <c r="CB31" i="29"/>
  <c r="CN31" i="29"/>
  <c r="CX31" i="29"/>
  <c r="CN32" i="29" a="1"/>
  <c r="CN32" i="29" s="1"/>
  <c r="CV32" i="29" a="1"/>
  <c r="CV32" i="29" s="1"/>
  <c r="CG35" i="29" a="1"/>
  <c r="CG35" i="29" s="1"/>
  <c r="CW35" i="29" a="1"/>
  <c r="CW35" i="29" s="1"/>
  <c r="J22" i="29"/>
  <c r="S22" i="29"/>
  <c r="AA22" i="29"/>
  <c r="AI22" i="29"/>
  <c r="AQ22" i="29"/>
  <c r="AY22" i="29"/>
  <c r="BH22" i="29"/>
  <c r="BP22" i="29"/>
  <c r="BX22" i="29"/>
  <c r="CF22" i="29"/>
  <c r="CN22" i="29"/>
  <c r="CV22" i="29"/>
  <c r="AH23" i="29" a="1"/>
  <c r="AH23" i="29" s="1"/>
  <c r="AQ23" i="29" a="1"/>
  <c r="AQ23" i="29" s="1"/>
  <c r="AZ23" i="29" a="1"/>
  <c r="AZ23" i="29" s="1"/>
  <c r="BJ23" i="29" a="1"/>
  <c r="BJ23" i="29" s="1"/>
  <c r="BO23" i="29" a="1"/>
  <c r="BO23" i="29" s="1"/>
  <c r="BX23" i="29" a="1"/>
  <c r="BX23" i="29" s="1"/>
  <c r="CG23" i="29" a="1"/>
  <c r="CG23" i="29" s="1"/>
  <c r="CP23" i="29" a="1"/>
  <c r="CP23" i="29" s="1"/>
  <c r="I25" i="29"/>
  <c r="S25" i="29"/>
  <c r="AB25" i="29"/>
  <c r="AK25" i="29"/>
  <c r="AT25" i="29"/>
  <c r="BC25" i="29"/>
  <c r="BN25" i="29"/>
  <c r="BW25" i="29"/>
  <c r="CF25" i="29"/>
  <c r="CO25" i="29"/>
  <c r="CX25" i="29"/>
  <c r="O26" i="29" a="1"/>
  <c r="O26" i="29" s="1"/>
  <c r="AC26" i="29" a="1"/>
  <c r="AC26" i="29" s="1"/>
  <c r="AL26" i="29" a="1"/>
  <c r="AL26" i="29" s="1"/>
  <c r="AU26" i="29" a="1"/>
  <c r="AU26" i="29" s="1"/>
  <c r="BF26" i="29" a="1"/>
  <c r="BF26" i="29" s="1"/>
  <c r="BK26" i="29" a="1"/>
  <c r="BK26" i="29" s="1"/>
  <c r="BV26" i="29" a="1"/>
  <c r="BV26" i="29" s="1"/>
  <c r="CA26" i="29" a="1"/>
  <c r="CA26" i="29" s="1"/>
  <c r="CL26" i="29" a="1"/>
  <c r="CL26" i="29" s="1"/>
  <c r="CQ26" i="29" a="1"/>
  <c r="CQ26" i="29" s="1"/>
  <c r="Q31" i="29"/>
  <c r="AB31" i="29"/>
  <c r="AL31" i="29"/>
  <c r="AW31" i="29"/>
  <c r="BI31" i="29"/>
  <c r="BS31" i="29"/>
  <c r="CD31" i="29"/>
  <c r="CO31" i="29"/>
  <c r="J32" i="29" a="1"/>
  <c r="J32" i="29" s="1"/>
  <c r="V32" i="29" a="1"/>
  <c r="V32" i="29" s="1"/>
  <c r="AA32" i="29" a="1"/>
  <c r="AA32" i="29" s="1"/>
  <c r="AL32" i="29" a="1"/>
  <c r="AL32" i="29" s="1"/>
  <c r="AQ32" i="29" a="1"/>
  <c r="AQ32" i="29" s="1"/>
  <c r="BB32" i="29" a="1"/>
  <c r="BB32" i="29" s="1"/>
  <c r="BH32" i="29" a="1"/>
  <c r="BH32" i="29" s="1"/>
  <c r="BS32" i="29" a="1"/>
  <c r="BS32" i="29" s="1"/>
  <c r="BX32" i="29" a="1"/>
  <c r="BX32" i="29" s="1"/>
  <c r="CI32" i="29" a="1"/>
  <c r="CI32" i="29" s="1"/>
  <c r="AW41" i="30"/>
  <c r="AW38" i="30"/>
  <c r="AX39" i="30"/>
  <c r="AL39" i="30"/>
  <c r="AL40" i="30" s="1"/>
  <c r="AK40" i="30"/>
  <c r="AS41" i="30"/>
  <c r="AS38" i="30"/>
  <c r="AT39" i="30"/>
  <c r="BA41" i="30"/>
  <c r="BB39" i="30"/>
  <c r="BB40" i="30" s="1"/>
  <c r="BA38" i="30"/>
  <c r="BA40" i="30"/>
  <c r="AL35" i="29" a="1"/>
  <c r="AL35" i="29" s="1"/>
  <c r="AT35" i="29" a="1"/>
  <c r="AT35" i="29" s="1"/>
  <c r="BB35" i="29" a="1"/>
  <c r="BB35" i="29" s="1"/>
  <c r="BK35" i="29" a="1"/>
  <c r="BK35" i="29" s="1"/>
  <c r="BS35" i="29" a="1"/>
  <c r="BS35" i="29" s="1"/>
  <c r="CA35" i="29" a="1"/>
  <c r="CA35" i="29" s="1"/>
  <c r="CI35" i="29" a="1"/>
  <c r="CI35" i="29" s="1"/>
  <c r="CU38" i="29" a="1"/>
  <c r="CU38" i="29" s="1"/>
  <c r="CQ38" i="29" a="1"/>
  <c r="CQ38" i="29" s="1"/>
  <c r="CM38" i="29" a="1"/>
  <c r="CM38" i="29" s="1"/>
  <c r="CI38" i="29" a="1"/>
  <c r="CI38" i="29" s="1"/>
  <c r="CE38" i="29" a="1"/>
  <c r="CE38" i="29" s="1"/>
  <c r="CA38" i="29" a="1"/>
  <c r="CA38" i="29" s="1"/>
  <c r="BW38" i="29" a="1"/>
  <c r="BW38" i="29" s="1"/>
  <c r="BS38" i="29" a="1"/>
  <c r="BS38" i="29" s="1"/>
  <c r="BO38" i="29" a="1"/>
  <c r="BO38" i="29" s="1"/>
  <c r="BK38" i="29" a="1"/>
  <c r="BK38" i="29" s="1"/>
  <c r="BG38" i="29" a="1"/>
  <c r="BG38" i="29" s="1"/>
  <c r="BB38" i="29" a="1"/>
  <c r="BB38" i="29" s="1"/>
  <c r="AX38" i="29" a="1"/>
  <c r="AX38" i="29" s="1"/>
  <c r="AT38" i="29" a="1"/>
  <c r="AT38" i="29" s="1"/>
  <c r="AP38" i="29" a="1"/>
  <c r="AP38" i="29" s="1"/>
  <c r="AL38" i="29" a="1"/>
  <c r="AL38" i="29" s="1"/>
  <c r="AH38" i="29" a="1"/>
  <c r="AH38" i="29" s="1"/>
  <c r="AD38" i="29" a="1"/>
  <c r="AD38" i="29" s="1"/>
  <c r="Z38" i="29" a="1"/>
  <c r="Z38" i="29" s="1"/>
  <c r="V38" i="29" a="1"/>
  <c r="V38" i="29" s="1"/>
  <c r="R38" i="29" a="1"/>
  <c r="R38" i="29" s="1"/>
  <c r="N38" i="29" a="1"/>
  <c r="N38" i="29" s="1"/>
  <c r="CW37" i="29"/>
  <c r="CO37" i="29"/>
  <c r="CG37" i="29"/>
  <c r="BY37" i="29"/>
  <c r="BQ37" i="29"/>
  <c r="BI37" i="29"/>
  <c r="AZ37" i="29"/>
  <c r="AR37" i="29"/>
  <c r="AJ37" i="29"/>
  <c r="AB37" i="29"/>
  <c r="T37" i="29"/>
  <c r="L37" i="29"/>
  <c r="CV37" i="29"/>
  <c r="CN37" i="29"/>
  <c r="CF37" i="29"/>
  <c r="BX37" i="29"/>
  <c r="BP37" i="29"/>
  <c r="BH37" i="29"/>
  <c r="AY37" i="29"/>
  <c r="AQ37" i="29"/>
  <c r="AI37" i="29"/>
  <c r="AA37" i="29"/>
  <c r="S37" i="29"/>
  <c r="J37" i="29"/>
  <c r="CX38" i="29" a="1"/>
  <c r="CX38" i="29" s="1"/>
  <c r="CT38" i="29" a="1"/>
  <c r="CT38" i="29" s="1"/>
  <c r="CP38" i="29" a="1"/>
  <c r="CP38" i="29" s="1"/>
  <c r="CL38" i="29" a="1"/>
  <c r="CL38" i="29" s="1"/>
  <c r="CH38" i="29" a="1"/>
  <c r="CH38" i="29" s="1"/>
  <c r="CD38" i="29" a="1"/>
  <c r="CD38" i="29" s="1"/>
  <c r="BZ38" i="29" a="1"/>
  <c r="BZ38" i="29" s="1"/>
  <c r="BV38" i="29" a="1"/>
  <c r="BV38" i="29" s="1"/>
  <c r="BR38" i="29" a="1"/>
  <c r="BR38" i="29" s="1"/>
  <c r="BN38" i="29" a="1"/>
  <c r="BN38" i="29" s="1"/>
  <c r="BJ38" i="29" a="1"/>
  <c r="BJ38" i="29" s="1"/>
  <c r="BF38" i="29" a="1"/>
  <c r="BF38" i="29" s="1"/>
  <c r="BA38" i="29" a="1"/>
  <c r="BA38" i="29" s="1"/>
  <c r="AW38" i="29" a="1"/>
  <c r="AW38" i="29" s="1"/>
  <c r="AS38" i="29" a="1"/>
  <c r="AS38" i="29" s="1"/>
  <c r="AO38" i="29" a="1"/>
  <c r="AO38" i="29" s="1"/>
  <c r="AK38" i="29" a="1"/>
  <c r="AK38" i="29" s="1"/>
  <c r="AG38" i="29" a="1"/>
  <c r="AG38" i="29" s="1"/>
  <c r="AC38" i="29" a="1"/>
  <c r="AC38" i="29" s="1"/>
  <c r="Y38" i="29" a="1"/>
  <c r="Y38" i="29" s="1"/>
  <c r="U38" i="29" a="1"/>
  <c r="U38" i="29" s="1"/>
  <c r="Q38" i="29" a="1"/>
  <c r="Q38" i="29" s="1"/>
  <c r="M38" i="29" a="1"/>
  <c r="M38" i="29" s="1"/>
  <c r="CU37" i="29"/>
  <c r="CM37" i="29"/>
  <c r="CE37" i="29"/>
  <c r="BW37" i="29"/>
  <c r="BO37" i="29"/>
  <c r="BG37" i="29"/>
  <c r="AX37" i="29"/>
  <c r="AP37" i="29"/>
  <c r="AH37" i="29"/>
  <c r="Z37" i="29"/>
  <c r="R37" i="29"/>
  <c r="I37" i="29"/>
  <c r="CR37" i="29"/>
  <c r="CJ37" i="29"/>
  <c r="CB37" i="29"/>
  <c r="BT37" i="29"/>
  <c r="BL37" i="29"/>
  <c r="BC37" i="29"/>
  <c r="AU37" i="29"/>
  <c r="AM37" i="29"/>
  <c r="AE37" i="29"/>
  <c r="W37" i="29"/>
  <c r="O37" i="29"/>
  <c r="CV38" i="29" a="1"/>
  <c r="CV38" i="29" s="1"/>
  <c r="Y37" i="29"/>
  <c r="AO37" i="29"/>
  <c r="BF37" i="29"/>
  <c r="BV37" i="29"/>
  <c r="CL37" i="29"/>
  <c r="CX41" i="29" a="1"/>
  <c r="CX41" i="29" s="1"/>
  <c r="AU26" i="30"/>
  <c r="AU23" i="30"/>
  <c r="AV24" i="30"/>
  <c r="AV25" i="30" s="1"/>
  <c r="AY32" i="30"/>
  <c r="AV26" i="30"/>
  <c r="AV23" i="30"/>
  <c r="AW24" i="30"/>
  <c r="AL41" i="30"/>
  <c r="AM39" i="30"/>
  <c r="AL38" i="30"/>
  <c r="CR34" i="29"/>
  <c r="CJ34" i="29"/>
  <c r="CB34" i="29"/>
  <c r="BT34" i="29"/>
  <c r="BL34" i="29"/>
  <c r="BC34" i="29"/>
  <c r="AU34" i="29"/>
  <c r="AM34" i="29"/>
  <c r="AE34" i="29"/>
  <c r="W34" i="29"/>
  <c r="O34" i="29"/>
  <c r="CV35" i="29" a="1"/>
  <c r="CV35" i="29" s="1"/>
  <c r="CR35" i="29" a="1"/>
  <c r="CR35" i="29" s="1"/>
  <c r="CN35" i="29" a="1"/>
  <c r="CN35" i="29" s="1"/>
  <c r="CJ35" i="29" a="1"/>
  <c r="CJ35" i="29" s="1"/>
  <c r="CF35" i="29" a="1"/>
  <c r="CF35" i="29" s="1"/>
  <c r="CB35" i="29" a="1"/>
  <c r="CB35" i="29" s="1"/>
  <c r="BX35" i="29" a="1"/>
  <c r="BX35" i="29" s="1"/>
  <c r="BT35" i="29" a="1"/>
  <c r="BT35" i="29" s="1"/>
  <c r="BP35" i="29" a="1"/>
  <c r="BP35" i="29" s="1"/>
  <c r="BL35" i="29" a="1"/>
  <c r="BL35" i="29" s="1"/>
  <c r="BH35" i="29" a="1"/>
  <c r="BH35" i="29" s="1"/>
  <c r="BC35" i="29" a="1"/>
  <c r="BC35" i="29" s="1"/>
  <c r="AY35" i="29" a="1"/>
  <c r="AY35" i="29" s="1"/>
  <c r="AU35" i="29" a="1"/>
  <c r="AU35" i="29" s="1"/>
  <c r="AQ35" i="29" a="1"/>
  <c r="AQ35" i="29" s="1"/>
  <c r="AM35" i="29" a="1"/>
  <c r="AM35" i="29" s="1"/>
  <c r="AI35" i="29" a="1"/>
  <c r="AI35" i="29" s="1"/>
  <c r="AE35" i="29" a="1"/>
  <c r="AE35" i="29" s="1"/>
  <c r="AA35" i="29" a="1"/>
  <c r="AA35" i="29" s="1"/>
  <c r="W35" i="29" a="1"/>
  <c r="W35" i="29" s="1"/>
  <c r="S35" i="29" a="1"/>
  <c r="S35" i="29" s="1"/>
  <c r="O35" i="29" a="1"/>
  <c r="O35" i="29" s="1"/>
  <c r="J35" i="29" a="1"/>
  <c r="J35" i="29" s="1"/>
  <c r="CQ34" i="29"/>
  <c r="CI34" i="29"/>
  <c r="CA34" i="29"/>
  <c r="BS34" i="29"/>
  <c r="BK34" i="29"/>
  <c r="BB34" i="29"/>
  <c r="AT34" i="29"/>
  <c r="AL34" i="29"/>
  <c r="AD34" i="29"/>
  <c r="V34" i="29"/>
  <c r="N34" i="29"/>
  <c r="CX34" i="29"/>
  <c r="CP34" i="29"/>
  <c r="CH34" i="29"/>
  <c r="BZ34" i="29"/>
  <c r="BR34" i="29"/>
  <c r="BJ34" i="29"/>
  <c r="BA34" i="29"/>
  <c r="AS34" i="29"/>
  <c r="AK34" i="29"/>
  <c r="AC34" i="29"/>
  <c r="U34" i="29"/>
  <c r="M34" i="29"/>
  <c r="CX35" i="29" a="1"/>
  <c r="CX35" i="29" s="1"/>
  <c r="CT35" i="29" a="1"/>
  <c r="CT35" i="29" s="1"/>
  <c r="CP35" i="29" a="1"/>
  <c r="CP35" i="29" s="1"/>
  <c r="CL35" i="29" a="1"/>
  <c r="CL35" i="29" s="1"/>
  <c r="CH35" i="29" a="1"/>
  <c r="CH35" i="29" s="1"/>
  <c r="CD35" i="29" a="1"/>
  <c r="CD35" i="29" s="1"/>
  <c r="BZ35" i="29" a="1"/>
  <c r="BZ35" i="29" s="1"/>
  <c r="BV35" i="29" a="1"/>
  <c r="BV35" i="29" s="1"/>
  <c r="BR35" i="29" a="1"/>
  <c r="BR35" i="29" s="1"/>
  <c r="BN35" i="29" a="1"/>
  <c r="BN35" i="29" s="1"/>
  <c r="BJ35" i="29" a="1"/>
  <c r="BJ35" i="29" s="1"/>
  <c r="BF35" i="29" a="1"/>
  <c r="BF35" i="29" s="1"/>
  <c r="BA35" i="29" a="1"/>
  <c r="BA35" i="29" s="1"/>
  <c r="AW35" i="29" a="1"/>
  <c r="AW35" i="29" s="1"/>
  <c r="AS35" i="29" a="1"/>
  <c r="AS35" i="29" s="1"/>
  <c r="AO35" i="29" a="1"/>
  <c r="AO35" i="29" s="1"/>
  <c r="AK35" i="29" a="1"/>
  <c r="AK35" i="29" s="1"/>
  <c r="AG35" i="29" a="1"/>
  <c r="AG35" i="29" s="1"/>
  <c r="AC35" i="29" a="1"/>
  <c r="AC35" i="29" s="1"/>
  <c r="Y35" i="29" a="1"/>
  <c r="Y35" i="29" s="1"/>
  <c r="U35" i="29" a="1"/>
  <c r="U35" i="29" s="1"/>
  <c r="Q35" i="29" a="1"/>
  <c r="Q35" i="29" s="1"/>
  <c r="M35" i="29" a="1"/>
  <c r="M35" i="29" s="1"/>
  <c r="T34" i="29"/>
  <c r="AH34" i="29"/>
  <c r="AV34" i="29"/>
  <c r="BH34" i="29"/>
  <c r="BV34" i="29"/>
  <c r="CG34" i="29"/>
  <c r="CU34" i="29"/>
  <c r="N37" i="29"/>
  <c r="AD37" i="29"/>
  <c r="AT37" i="29"/>
  <c r="BK37" i="29"/>
  <c r="CA37" i="29"/>
  <c r="CQ37" i="29"/>
  <c r="O38" i="29" a="1"/>
  <c r="O38" i="29" s="1"/>
  <c r="W38" i="29" a="1"/>
  <c r="W38" i="29" s="1"/>
  <c r="AE38" i="29" a="1"/>
  <c r="AE38" i="29" s="1"/>
  <c r="AM38" i="29" a="1"/>
  <c r="AM38" i="29" s="1"/>
  <c r="AU38" i="29" a="1"/>
  <c r="AU38" i="29" s="1"/>
  <c r="BC38" i="29" a="1"/>
  <c r="BC38" i="29" s="1"/>
  <c r="BL38" i="29" a="1"/>
  <c r="BL38" i="29" s="1"/>
  <c r="BT38" i="29" a="1"/>
  <c r="BT38" i="29" s="1"/>
  <c r="CB38" i="29" a="1"/>
  <c r="CB38" i="29" s="1"/>
  <c r="CJ38" i="29" a="1"/>
  <c r="CJ38" i="29" s="1"/>
  <c r="CR38" i="29" a="1"/>
  <c r="CR38" i="29" s="1"/>
  <c r="AV38" i="30"/>
  <c r="AW39" i="30"/>
  <c r="AW40" i="30" s="1"/>
  <c r="AV41" i="30"/>
  <c r="AM40" i="30"/>
  <c r="AM38" i="30"/>
  <c r="AN39" i="30"/>
  <c r="AN40" i="30" s="1"/>
  <c r="AM41" i="30"/>
  <c r="AV44" i="29" a="1"/>
  <c r="AV44" i="29" s="1"/>
  <c r="AZ44" i="29" a="1"/>
  <c r="AZ44" i="29" s="1"/>
  <c r="BD44" i="29" a="1"/>
  <c r="BD44" i="29" s="1"/>
  <c r="BI44" i="29" a="1"/>
  <c r="BI44" i="29" s="1"/>
  <c r="BM44" i="29" a="1"/>
  <c r="BM44" i="29" s="1"/>
  <c r="BQ44" i="29" a="1"/>
  <c r="BQ44" i="29" s="1"/>
  <c r="BU44" i="29" a="1"/>
  <c r="BU44" i="29" s="1"/>
  <c r="BY44" i="29" a="1"/>
  <c r="BY44" i="29" s="1"/>
  <c r="CC44" i="29" a="1"/>
  <c r="CC44" i="29" s="1"/>
  <c r="CG44" i="29" a="1"/>
  <c r="CG44" i="29" s="1"/>
  <c r="CK44" i="29" a="1"/>
  <c r="CK44" i="29" s="1"/>
  <c r="CO44" i="29" a="1"/>
  <c r="CO44" i="29" s="1"/>
  <c r="CS44" i="29" a="1"/>
  <c r="CS44" i="29" s="1"/>
  <c r="CW44" i="29" a="1"/>
  <c r="CW44" i="29" s="1"/>
  <c r="AO19" i="30"/>
  <c r="AO29" i="30" a="1"/>
  <c r="AO29" i="30" s="1"/>
  <c r="AW37" i="30" a="1"/>
  <c r="AW37" i="30" s="1"/>
  <c r="AW19" i="30"/>
  <c r="AW28" i="30"/>
  <c r="AK16" i="30"/>
  <c r="AM18" i="30"/>
  <c r="X21" i="30"/>
  <c r="AO21" i="30"/>
  <c r="L22" i="30" a="1"/>
  <c r="L22" i="30" s="1"/>
  <c r="T22" i="30" a="1"/>
  <c r="T22" i="30" s="1"/>
  <c r="AE22" i="30" a="1"/>
  <c r="AE22" i="30" s="1"/>
  <c r="BA37" i="30" a="1"/>
  <c r="BA37" i="30" s="1"/>
  <c r="L40" i="29"/>
  <c r="T40" i="29"/>
  <c r="AB40" i="29"/>
  <c r="AJ40" i="29"/>
  <c r="AR40" i="29"/>
  <c r="AZ40" i="29"/>
  <c r="BI40" i="29"/>
  <c r="BQ40" i="29"/>
  <c r="BY40" i="29"/>
  <c r="CG40" i="29"/>
  <c r="CO40" i="29"/>
  <c r="CW40" i="29"/>
  <c r="N41" i="29" a="1"/>
  <c r="N41" i="29" s="1"/>
  <c r="R41" i="29" a="1"/>
  <c r="R41" i="29" s="1"/>
  <c r="V41" i="29" a="1"/>
  <c r="V41" i="29" s="1"/>
  <c r="Z41" i="29" a="1"/>
  <c r="Z41" i="29" s="1"/>
  <c r="AD41" i="29" a="1"/>
  <c r="AD41" i="29" s="1"/>
  <c r="AH41" i="29" a="1"/>
  <c r="AH41" i="29" s="1"/>
  <c r="AL41" i="29" a="1"/>
  <c r="AL41" i="29" s="1"/>
  <c r="AP41" i="29" a="1"/>
  <c r="AP41" i="29" s="1"/>
  <c r="AT41" i="29" a="1"/>
  <c r="AT41" i="29" s="1"/>
  <c r="AX41" i="29" a="1"/>
  <c r="AX41" i="29" s="1"/>
  <c r="BB41" i="29" a="1"/>
  <c r="BB41" i="29" s="1"/>
  <c r="BG41" i="29" a="1"/>
  <c r="BG41" i="29" s="1"/>
  <c r="BK41" i="29" a="1"/>
  <c r="BK41" i="29" s="1"/>
  <c r="BO41" i="29" a="1"/>
  <c r="BO41" i="29" s="1"/>
  <c r="BS41" i="29" a="1"/>
  <c r="BS41" i="29" s="1"/>
  <c r="BW41" i="29" a="1"/>
  <c r="BW41" i="29" s="1"/>
  <c r="CA41" i="29" a="1"/>
  <c r="CA41" i="29" s="1"/>
  <c r="CE41" i="29" a="1"/>
  <c r="CE41" i="29" s="1"/>
  <c r="CI41" i="29" a="1"/>
  <c r="CI41" i="29" s="1"/>
  <c r="CM41" i="29" a="1"/>
  <c r="CM41" i="29" s="1"/>
  <c r="CQ41" i="29" a="1"/>
  <c r="CQ41" i="29" s="1"/>
  <c r="CU41" i="29" a="1"/>
  <c r="CU41" i="29" s="1"/>
  <c r="Q43" i="29"/>
  <c r="Y43" i="29"/>
  <c r="AG43" i="29"/>
  <c r="AO43" i="29"/>
  <c r="AW43" i="29"/>
  <c r="BF43" i="29"/>
  <c r="BN43" i="29"/>
  <c r="BV43" i="29"/>
  <c r="CD43" i="29"/>
  <c r="CL43" i="29"/>
  <c r="CT43" i="29"/>
  <c r="AH19" i="30"/>
  <c r="AP19" i="30"/>
  <c r="AX19" i="30"/>
  <c r="BB21" i="30"/>
  <c r="AT21" i="30"/>
  <c r="AL21" i="30"/>
  <c r="AC21" i="30"/>
  <c r="U21" i="30"/>
  <c r="M21" i="30"/>
  <c r="AY22" i="30" a="1"/>
  <c r="AY22" i="30" s="1"/>
  <c r="AU22" i="30" a="1"/>
  <c r="AU22" i="30" s="1"/>
  <c r="AQ22" i="30" a="1"/>
  <c r="AQ22" i="30" s="1"/>
  <c r="AM22" i="30" a="1"/>
  <c r="AM22" i="30" s="1"/>
  <c r="AI22" i="30" a="1"/>
  <c r="AI22" i="30" s="1"/>
  <c r="AD22" i="30" a="1"/>
  <c r="AD22" i="30" s="1"/>
  <c r="Z22" i="30" a="1"/>
  <c r="Z22" i="30" s="1"/>
  <c r="V22" i="30" a="1"/>
  <c r="V22" i="30" s="1"/>
  <c r="R22" i="30" a="1"/>
  <c r="R22" i="30" s="1"/>
  <c r="N22" i="30" a="1"/>
  <c r="N22" i="30" s="1"/>
  <c r="BA21" i="30"/>
  <c r="AS21" i="30"/>
  <c r="AK21" i="30"/>
  <c r="AB21" i="30"/>
  <c r="T21" i="30"/>
  <c r="L21" i="30"/>
  <c r="AZ21" i="30"/>
  <c r="AR21" i="30"/>
  <c r="AJ21" i="30"/>
  <c r="AA21" i="30"/>
  <c r="S21" i="30"/>
  <c r="J21" i="30"/>
  <c r="BB22" i="30" a="1"/>
  <c r="BB22" i="30" s="1"/>
  <c r="AX22" i="30" a="1"/>
  <c r="AX22" i="30" s="1"/>
  <c r="AT22" i="30" a="1"/>
  <c r="AT22" i="30" s="1"/>
  <c r="AP22" i="30" a="1"/>
  <c r="AP22" i="30" s="1"/>
  <c r="AL22" i="30" a="1"/>
  <c r="AL22" i="30" s="1"/>
  <c r="AH22" i="30" a="1"/>
  <c r="AH22" i="30" s="1"/>
  <c r="AC22" i="30" a="1"/>
  <c r="AC22" i="30" s="1"/>
  <c r="Y22" i="30" a="1"/>
  <c r="Y22" i="30" s="1"/>
  <c r="U22" i="30" a="1"/>
  <c r="U22" i="30" s="1"/>
  <c r="Q22" i="30" a="1"/>
  <c r="Q22" i="30" s="1"/>
  <c r="M22" i="30" a="1"/>
  <c r="M22" i="30" s="1"/>
  <c r="AY21" i="30"/>
  <c r="AQ21" i="30"/>
  <c r="AI21" i="30"/>
  <c r="Z21" i="30"/>
  <c r="R21" i="30"/>
  <c r="I21" i="30"/>
  <c r="Y21" i="30"/>
  <c r="AP21" i="30"/>
  <c r="AF22" i="30" a="1"/>
  <c r="AF22" i="30" s="1"/>
  <c r="AR22" i="30" a="1"/>
  <c r="AR22" i="30" s="1"/>
  <c r="AP29" i="30" a="1"/>
  <c r="AP29" i="30" s="1"/>
  <c r="O40" i="29"/>
  <c r="W40" i="29"/>
  <c r="AE40" i="29"/>
  <c r="AM40" i="29"/>
  <c r="AU40" i="29"/>
  <c r="BC40" i="29"/>
  <c r="BL40" i="29"/>
  <c r="BT40" i="29"/>
  <c r="CB40" i="29"/>
  <c r="CJ40" i="29"/>
  <c r="CR40" i="29"/>
  <c r="L43" i="29"/>
  <c r="T43" i="29"/>
  <c r="AB43" i="29"/>
  <c r="AJ43" i="29"/>
  <c r="AR43" i="29"/>
  <c r="AZ43" i="29"/>
  <c r="BI43" i="29"/>
  <c r="BQ43" i="29"/>
  <c r="BY43" i="29"/>
  <c r="CG43" i="29"/>
  <c r="CO43" i="29"/>
  <c r="CW43" i="29"/>
  <c r="N44" i="29" a="1"/>
  <c r="N44" i="29" s="1"/>
  <c r="R44" i="29" a="1"/>
  <c r="R44" i="29" s="1"/>
  <c r="V44" i="29" a="1"/>
  <c r="V44" i="29" s="1"/>
  <c r="Z44" i="29" a="1"/>
  <c r="Z44" i="29" s="1"/>
  <c r="AD44" i="29" a="1"/>
  <c r="AD44" i="29" s="1"/>
  <c r="AH44" i="29" a="1"/>
  <c r="AH44" i="29" s="1"/>
  <c r="AL44" i="29" a="1"/>
  <c r="AL44" i="29" s="1"/>
  <c r="AP44" i="29" a="1"/>
  <c r="AP44" i="29" s="1"/>
  <c r="AT44" i="29" a="1"/>
  <c r="AT44" i="29" s="1"/>
  <c r="AX44" i="29" a="1"/>
  <c r="AX44" i="29" s="1"/>
  <c r="BB44" i="29" a="1"/>
  <c r="BB44" i="29" s="1"/>
  <c r="BG44" i="29" a="1"/>
  <c r="BG44" i="29" s="1"/>
  <c r="BK44" i="29" a="1"/>
  <c r="BK44" i="29" s="1"/>
  <c r="BO44" i="29" a="1"/>
  <c r="BO44" i="29" s="1"/>
  <c r="BS44" i="29" a="1"/>
  <c r="BS44" i="29" s="1"/>
  <c r="BW44" i="29" a="1"/>
  <c r="BW44" i="29" s="1"/>
  <c r="CA44" i="29" a="1"/>
  <c r="CA44" i="29" s="1"/>
  <c r="CE44" i="29" a="1"/>
  <c r="CE44" i="29" s="1"/>
  <c r="CI44" i="29" a="1"/>
  <c r="CI44" i="29" s="1"/>
  <c r="CM44" i="29" a="1"/>
  <c r="CM44" i="29" s="1"/>
  <c r="CQ44" i="29" a="1"/>
  <c r="CQ44" i="29" s="1"/>
  <c r="CU44" i="29" a="1"/>
  <c r="CU44" i="29" s="1"/>
  <c r="AK18" i="30"/>
  <c r="AS18" i="30"/>
  <c r="AT40" i="30"/>
  <c r="AT38" i="30"/>
  <c r="AT41" i="30"/>
  <c r="BB41" i="30"/>
  <c r="AU18" i="30"/>
  <c r="P21" i="30"/>
  <c r="AF21" i="30"/>
  <c r="AW21" i="30"/>
  <c r="P22" i="30" a="1"/>
  <c r="P22" i="30" s="1"/>
  <c r="AK22" i="30" a="1"/>
  <c r="AK22" i="30" s="1"/>
  <c r="AV22" i="30" a="1"/>
  <c r="AV22" i="30" s="1"/>
  <c r="AO37" i="30" a="1"/>
  <c r="AO37" i="30" s="1"/>
  <c r="P40" i="29"/>
  <c r="X40" i="29"/>
  <c r="AF40" i="29"/>
  <c r="AN40" i="29"/>
  <c r="AV40" i="29"/>
  <c r="BD40" i="29"/>
  <c r="BM40" i="29"/>
  <c r="BU40" i="29"/>
  <c r="CC40" i="29"/>
  <c r="CK40" i="29"/>
  <c r="CS40" i="29"/>
  <c r="L41" i="29" a="1"/>
  <c r="L41" i="29" s="1"/>
  <c r="P41" i="29" a="1"/>
  <c r="P41" i="29" s="1"/>
  <c r="T41" i="29" a="1"/>
  <c r="T41" i="29" s="1"/>
  <c r="X41" i="29" a="1"/>
  <c r="X41" i="29" s="1"/>
  <c r="AB41" i="29" a="1"/>
  <c r="AB41" i="29" s="1"/>
  <c r="AF41" i="29" a="1"/>
  <c r="AF41" i="29" s="1"/>
  <c r="AJ41" i="29" a="1"/>
  <c r="AJ41" i="29" s="1"/>
  <c r="AN41" i="29" a="1"/>
  <c r="AN41" i="29" s="1"/>
  <c r="AR41" i="29" a="1"/>
  <c r="AR41" i="29" s="1"/>
  <c r="AV41" i="29" a="1"/>
  <c r="AV41" i="29" s="1"/>
  <c r="AZ41" i="29" a="1"/>
  <c r="AZ41" i="29" s="1"/>
  <c r="BD41" i="29" a="1"/>
  <c r="BD41" i="29" s="1"/>
  <c r="BI41" i="29" a="1"/>
  <c r="BI41" i="29" s="1"/>
  <c r="BM41" i="29" a="1"/>
  <c r="BM41" i="29" s="1"/>
  <c r="BQ41" i="29" a="1"/>
  <c r="BQ41" i="29" s="1"/>
  <c r="BU41" i="29" a="1"/>
  <c r="BU41" i="29" s="1"/>
  <c r="BY41" i="29" a="1"/>
  <c r="BY41" i="29" s="1"/>
  <c r="CC41" i="29" a="1"/>
  <c r="CC41" i="29" s="1"/>
  <c r="CG41" i="29" a="1"/>
  <c r="CG41" i="29" s="1"/>
  <c r="CK41" i="29" a="1"/>
  <c r="CK41" i="29" s="1"/>
  <c r="CO41" i="29" a="1"/>
  <c r="CO41" i="29" s="1"/>
  <c r="CS41" i="29" a="1"/>
  <c r="CS41" i="29" s="1"/>
  <c r="CW41" i="29" a="1"/>
  <c r="CW41" i="29" s="1"/>
  <c r="M43" i="29"/>
  <c r="U43" i="29"/>
  <c r="AC43" i="29"/>
  <c r="AK43" i="29"/>
  <c r="AS43" i="29"/>
  <c r="BA43" i="29"/>
  <c r="BJ43" i="29"/>
  <c r="BR43" i="29"/>
  <c r="BZ43" i="29"/>
  <c r="CH43" i="29"/>
  <c r="CP43" i="29"/>
  <c r="CX43" i="29"/>
  <c r="AL18" i="30"/>
  <c r="AT18" i="30"/>
  <c r="AT29" i="30" a="1"/>
  <c r="AT29" i="30" s="1"/>
  <c r="AT28" i="30"/>
  <c r="AY19" i="30"/>
  <c r="AY18" i="30"/>
  <c r="AY29" i="30" a="1"/>
  <c r="AY29" i="30" s="1"/>
  <c r="AY37" i="30" a="1"/>
  <c r="AY37" i="30" s="1"/>
  <c r="AU38" i="30"/>
  <c r="AV39" i="30"/>
  <c r="AV40" i="30" s="1"/>
  <c r="AU19" i="30"/>
  <c r="Q21" i="30"/>
  <c r="AH21" i="30"/>
  <c r="AX21" i="30"/>
  <c r="AA22" i="30" a="1"/>
  <c r="AA22" i="30" s="1"/>
  <c r="AW22" i="30" a="1"/>
  <c r="AW22" i="30" s="1"/>
  <c r="BA29" i="30" a="1"/>
  <c r="BA29" i="30" s="1"/>
  <c r="AU39" i="30"/>
  <c r="AU40" i="30" s="1"/>
  <c r="M19" i="31"/>
  <c r="Q40" i="29"/>
  <c r="Y40" i="29"/>
  <c r="AG40" i="29"/>
  <c r="AO40" i="29"/>
  <c r="AW40" i="29"/>
  <c r="BF40" i="29"/>
  <c r="BN40" i="29"/>
  <c r="BV40" i="29"/>
  <c r="CD40" i="29"/>
  <c r="CL40" i="29"/>
  <c r="CT40" i="29"/>
  <c r="N43" i="29"/>
  <c r="V43" i="29"/>
  <c r="AD43" i="29"/>
  <c r="AL43" i="29"/>
  <c r="AT43" i="29"/>
  <c r="BB43" i="29"/>
  <c r="BK43" i="29"/>
  <c r="BS43" i="29"/>
  <c r="CA43" i="29"/>
  <c r="CI43" i="29"/>
  <c r="CQ43" i="29"/>
  <c r="J44" i="29" a="1"/>
  <c r="J44" i="29" s="1"/>
  <c r="O44" i="29" a="1"/>
  <c r="O44" i="29" s="1"/>
  <c r="S44" i="29" a="1"/>
  <c r="S44" i="29" s="1"/>
  <c r="W44" i="29" a="1"/>
  <c r="W44" i="29" s="1"/>
  <c r="AA44" i="29" a="1"/>
  <c r="AA44" i="29" s="1"/>
  <c r="AE44" i="29" a="1"/>
  <c r="AE44" i="29" s="1"/>
  <c r="AI44" i="29" a="1"/>
  <c r="AI44" i="29" s="1"/>
  <c r="AM44" i="29" a="1"/>
  <c r="AM44" i="29" s="1"/>
  <c r="AQ44" i="29" a="1"/>
  <c r="AQ44" i="29" s="1"/>
  <c r="AU44" i="29" a="1"/>
  <c r="AU44" i="29" s="1"/>
  <c r="AY44" i="29" a="1"/>
  <c r="AY44" i="29" s="1"/>
  <c r="BC44" i="29" a="1"/>
  <c r="BC44" i="29" s="1"/>
  <c r="BH44" i="29" a="1"/>
  <c r="BH44" i="29" s="1"/>
  <c r="BL44" i="29" a="1"/>
  <c r="BL44" i="29" s="1"/>
  <c r="BP44" i="29" a="1"/>
  <c r="BP44" i="29" s="1"/>
  <c r="BT44" i="29" a="1"/>
  <c r="BT44" i="29" s="1"/>
  <c r="BX44" i="29" a="1"/>
  <c r="BX44" i="29" s="1"/>
  <c r="CB44" i="29" a="1"/>
  <c r="CB44" i="29" s="1"/>
  <c r="CF44" i="29" a="1"/>
  <c r="CF44" i="29" s="1"/>
  <c r="CJ44" i="29" a="1"/>
  <c r="CJ44" i="29" s="1"/>
  <c r="CN44" i="29" a="1"/>
  <c r="CN44" i="29" s="1"/>
  <c r="CR44" i="29" a="1"/>
  <c r="CR44" i="29" s="1"/>
  <c r="CV44" i="29" a="1"/>
  <c r="CV44" i="29" s="1"/>
  <c r="AM37" i="30" a="1"/>
  <c r="AM37" i="30" s="1"/>
  <c r="AZ37" i="30" a="1"/>
  <c r="AZ37" i="30" s="1"/>
  <c r="AZ18" i="30"/>
  <c r="AN38" i="30"/>
  <c r="AN41" i="30"/>
  <c r="AO39" i="30"/>
  <c r="AO40" i="30" s="1"/>
  <c r="AW18" i="30"/>
  <c r="AZ19" i="30"/>
  <c r="V21" i="30"/>
  <c r="AM21" i="30"/>
  <c r="J22" i="30" a="1"/>
  <c r="J22" i="30" s="1"/>
  <c r="S22" i="30" a="1"/>
  <c r="S22" i="30" s="1"/>
  <c r="AB22" i="30" a="1"/>
  <c r="AB22" i="30" s="1"/>
  <c r="AN22" i="30" a="1"/>
  <c r="AN22" i="30" s="1"/>
  <c r="AL28" i="30"/>
  <c r="Q41" i="29" a="1"/>
  <c r="Q41" i="29" s="1"/>
  <c r="U41" i="29" a="1"/>
  <c r="U41" i="29" s="1"/>
  <c r="Y41" i="29" a="1"/>
  <c r="Y41" i="29" s="1"/>
  <c r="AC41" i="29" a="1"/>
  <c r="AC41" i="29" s="1"/>
  <c r="AG41" i="29" a="1"/>
  <c r="AG41" i="29" s="1"/>
  <c r="AK41" i="29" a="1"/>
  <c r="AK41" i="29" s="1"/>
  <c r="AO41" i="29" a="1"/>
  <c r="AO41" i="29" s="1"/>
  <c r="AS41" i="29" a="1"/>
  <c r="AS41" i="29" s="1"/>
  <c r="AW41" i="29" a="1"/>
  <c r="AW41" i="29" s="1"/>
  <c r="BA41" i="29" a="1"/>
  <c r="BA41" i="29" s="1"/>
  <c r="BF41" i="29" a="1"/>
  <c r="BF41" i="29" s="1"/>
  <c r="BJ41" i="29" a="1"/>
  <c r="BJ41" i="29" s="1"/>
  <c r="BN41" i="29" a="1"/>
  <c r="BN41" i="29" s="1"/>
  <c r="BR41" i="29" a="1"/>
  <c r="BR41" i="29" s="1"/>
  <c r="BV41" i="29" a="1"/>
  <c r="BV41" i="29" s="1"/>
  <c r="BZ41" i="29" a="1"/>
  <c r="BZ41" i="29" s="1"/>
  <c r="CD41" i="29" a="1"/>
  <c r="CD41" i="29" s="1"/>
  <c r="CH41" i="29" a="1"/>
  <c r="CH41" i="29" s="1"/>
  <c r="CL41" i="29" a="1"/>
  <c r="CL41" i="29" s="1"/>
  <c r="CP41" i="29" a="1"/>
  <c r="CP41" i="29" s="1"/>
  <c r="CT41" i="29" a="1"/>
  <c r="CT41" i="29" s="1"/>
  <c r="O43" i="29"/>
  <c r="W43" i="29"/>
  <c r="AE43" i="29"/>
  <c r="AM43" i="29"/>
  <c r="AU43" i="29"/>
  <c r="BC43" i="29"/>
  <c r="BL43" i="29"/>
  <c r="BT43" i="29"/>
  <c r="CB43" i="29"/>
  <c r="CJ43" i="29"/>
  <c r="AN19" i="30"/>
  <c r="AN37" i="30" a="1"/>
  <c r="AN37" i="30" s="1"/>
  <c r="AV37" i="30" a="1"/>
  <c r="AV37" i="30" s="1"/>
  <c r="AV19" i="30"/>
  <c r="AO41" i="30"/>
  <c r="AP39" i="30"/>
  <c r="AO38" i="30"/>
  <c r="AH18" i="30"/>
  <c r="AX18" i="30"/>
  <c r="AK19" i="30"/>
  <c r="W21" i="30"/>
  <c r="AN21" i="30"/>
  <c r="AO22" i="30" a="1"/>
  <c r="AO22" i="30" s="1"/>
  <c r="AZ22" i="30" a="1"/>
  <c r="AZ22" i="30" s="1"/>
  <c r="AO28" i="30"/>
  <c r="AJ28" i="30"/>
  <c r="AJ41" i="30"/>
  <c r="AJ38" i="30"/>
  <c r="O19" i="31"/>
  <c r="P19" i="31" s="1"/>
  <c r="Q19" i="31" s="1"/>
  <c r="R19" i="31" s="1"/>
  <c r="S19" i="31" s="1"/>
  <c r="T19" i="31" s="1"/>
  <c r="U19" i="31" s="1"/>
  <c r="V19" i="31" s="1"/>
  <c r="W19" i="31" s="1"/>
  <c r="X19" i="31" s="1"/>
  <c r="Y19" i="31" s="1"/>
  <c r="Z19" i="31" s="1"/>
  <c r="AA19" i="31" s="1"/>
  <c r="AB19" i="31" s="1"/>
  <c r="AC19" i="31" s="1"/>
  <c r="AD19" i="31" s="1"/>
  <c r="AE19" i="31" s="1"/>
  <c r="AF19" i="31" s="1"/>
  <c r="AG19" i="31" s="1"/>
  <c r="AH19" i="31" s="1"/>
  <c r="AI19" i="31" s="1"/>
  <c r="AJ19" i="31" s="1"/>
  <c r="AK19" i="31" s="1"/>
  <c r="AL19" i="31" s="1"/>
  <c r="AM19" i="31" s="1"/>
  <c r="AN19" i="31" s="1"/>
  <c r="AO19" i="31" s="1"/>
  <c r="AP19" i="31" s="1"/>
  <c r="AQ19" i="31" s="1"/>
  <c r="AR19" i="31" s="1"/>
  <c r="AS19" i="31" s="1"/>
  <c r="AT19" i="31" s="1"/>
  <c r="AU19" i="31" s="1"/>
  <c r="AV19" i="31" s="1"/>
  <c r="AW19" i="31" s="1"/>
  <c r="AX19" i="31" s="1"/>
  <c r="AY19" i="31" s="1"/>
  <c r="AZ19" i="31" s="1"/>
  <c r="BA19" i="31" s="1"/>
  <c r="BB19" i="31" s="1"/>
  <c r="AK28" i="30"/>
  <c r="AI29" i="30" a="1"/>
  <c r="AI29" i="30" s="1"/>
  <c r="AI37" i="30" a="1"/>
  <c r="AI37" i="30" s="1"/>
  <c r="AS37" i="30" a="1"/>
  <c r="AS37" i="30" s="1"/>
  <c r="AI18" i="30"/>
  <c r="AQ18" i="30"/>
  <c r="AV28" i="30"/>
  <c r="AN28" i="30"/>
  <c r="AE28" i="30"/>
  <c r="W28" i="30"/>
  <c r="O28" i="30"/>
  <c r="AZ29" i="30" a="1"/>
  <c r="AZ29" i="30" s="1"/>
  <c r="AV29" i="30" a="1"/>
  <c r="AV29" i="30" s="1"/>
  <c r="AR29" i="30" a="1"/>
  <c r="AR29" i="30" s="1"/>
  <c r="AN29" i="30" a="1"/>
  <c r="AN29" i="30" s="1"/>
  <c r="AJ29" i="30" a="1"/>
  <c r="AJ29" i="30" s="1"/>
  <c r="AE29" i="30" a="1"/>
  <c r="AE29" i="30" s="1"/>
  <c r="AA29" i="30" a="1"/>
  <c r="AA29" i="30" s="1"/>
  <c r="W29" i="30" a="1"/>
  <c r="W29" i="30" s="1"/>
  <c r="S29" i="30" a="1"/>
  <c r="S29" i="30" s="1"/>
  <c r="O29" i="30" a="1"/>
  <c r="O29" i="30" s="1"/>
  <c r="J29" i="30" a="1"/>
  <c r="J29" i="30" s="1"/>
  <c r="AU28" i="30"/>
  <c r="AM28" i="30"/>
  <c r="AD28" i="30"/>
  <c r="V28" i="30"/>
  <c r="N28" i="30"/>
  <c r="S28" i="30"/>
  <c r="AC28" i="30"/>
  <c r="AP28" i="30"/>
  <c r="AZ28" i="30"/>
  <c r="K23" i="31"/>
  <c r="L23" i="31" s="1"/>
  <c r="M23" i="31" s="1"/>
  <c r="AW34" i="31"/>
  <c r="AO34" i="31"/>
  <c r="AG34" i="31"/>
  <c r="Y34" i="31"/>
  <c r="Q34" i="31"/>
  <c r="BB33" i="31"/>
  <c r="AT33" i="31"/>
  <c r="AL33" i="31"/>
  <c r="AD33" i="31"/>
  <c r="V33" i="31"/>
  <c r="N33" i="31"/>
  <c r="AU34" i="31"/>
  <c r="AM34" i="31"/>
  <c r="AE34" i="31"/>
  <c r="W34" i="31"/>
  <c r="O34" i="31"/>
  <c r="AZ33" i="31"/>
  <c r="AR33" i="31"/>
  <c r="AJ33" i="31"/>
  <c r="AB33" i="31"/>
  <c r="T33" i="31"/>
  <c r="L33" i="31"/>
  <c r="BA34" i="31"/>
  <c r="AS34" i="31"/>
  <c r="AK34" i="31"/>
  <c r="AC34" i="31"/>
  <c r="U34" i="31"/>
  <c r="M34" i="31"/>
  <c r="AX33" i="31"/>
  <c r="AP33" i="31"/>
  <c r="AH33" i="31"/>
  <c r="Z33" i="31"/>
  <c r="R33" i="31"/>
  <c r="J33" i="31"/>
  <c r="J35" i="31" s="1"/>
  <c r="AZ34" i="31"/>
  <c r="AR34" i="31"/>
  <c r="AJ34" i="31"/>
  <c r="AB34" i="31"/>
  <c r="T34" i="31"/>
  <c r="L34" i="31"/>
  <c r="AW33" i="31"/>
  <c r="AO33" i="31"/>
  <c r="AG33" i="31"/>
  <c r="Y33" i="31"/>
  <c r="Q33" i="31"/>
  <c r="H33" i="31"/>
  <c r="BB34" i="31"/>
  <c r="AL34" i="31"/>
  <c r="V34" i="31"/>
  <c r="AY33" i="31"/>
  <c r="AI33" i="31"/>
  <c r="S33" i="31"/>
  <c r="AX34" i="31"/>
  <c r="AH34" i="31"/>
  <c r="R34" i="31"/>
  <c r="AU33" i="31"/>
  <c r="AE33" i="31"/>
  <c r="O33" i="31"/>
  <c r="AV34" i="31"/>
  <c r="AF34" i="31"/>
  <c r="P34" i="31"/>
  <c r="AS33" i="31"/>
  <c r="AC33" i="31"/>
  <c r="M33" i="31"/>
  <c r="AP34" i="31"/>
  <c r="Z34" i="31"/>
  <c r="J34" i="31"/>
  <c r="AM33" i="31"/>
  <c r="W33" i="31"/>
  <c r="AN34" i="31"/>
  <c r="X34" i="31"/>
  <c r="BA33" i="31"/>
  <c r="AK33" i="31"/>
  <c r="U33" i="31"/>
  <c r="AD34" i="31"/>
  <c r="AF33" i="31"/>
  <c r="S34" i="31"/>
  <c r="X33" i="31"/>
  <c r="N34" i="31"/>
  <c r="P33" i="31"/>
  <c r="AQ34" i="31"/>
  <c r="AQ33" i="31"/>
  <c r="AI34" i="31"/>
  <c r="AN33" i="31"/>
  <c r="AR18" i="30"/>
  <c r="I28" i="30"/>
  <c r="T28" i="30"/>
  <c r="AF28" i="30"/>
  <c r="AQ28" i="30"/>
  <c r="BA28" i="30"/>
  <c r="P29" i="30" a="1"/>
  <c r="P29" i="30" s="1"/>
  <c r="U29" i="30" a="1"/>
  <c r="U29" i="30" s="1"/>
  <c r="Z29" i="30" a="1"/>
  <c r="Z29" i="30" s="1"/>
  <c r="AF29" i="30" a="1"/>
  <c r="AF29" i="30" s="1"/>
  <c r="AL29" i="30" a="1"/>
  <c r="AL29" i="30" s="1"/>
  <c r="AQ29" i="30" a="1"/>
  <c r="AQ29" i="30" s="1"/>
  <c r="AW29" i="30" a="1"/>
  <c r="AW29" i="30" s="1"/>
  <c r="BB29" i="30" a="1"/>
  <c r="BB29" i="30" s="1"/>
  <c r="BB37" i="30" a="1"/>
  <c r="BB37" i="30" s="1"/>
  <c r="AK37" i="30" a="1"/>
  <c r="AK37" i="30" s="1"/>
  <c r="AQ37" i="30" a="1"/>
  <c r="AQ37" i="30" s="1"/>
  <c r="K33" i="31"/>
  <c r="J28" i="30"/>
  <c r="U28" i="30"/>
  <c r="AH28" i="30"/>
  <c r="AR28" i="30"/>
  <c r="BB28" i="30"/>
  <c r="AA33" i="31"/>
  <c r="L28" i="30"/>
  <c r="X28" i="30"/>
  <c r="AI28" i="30"/>
  <c r="AS28" i="30"/>
  <c r="L29" i="30" a="1"/>
  <c r="L29" i="30" s="1"/>
  <c r="Q29" i="30" a="1"/>
  <c r="Q29" i="30" s="1"/>
  <c r="V29" i="30" a="1"/>
  <c r="V29" i="30" s="1"/>
  <c r="AB29" i="30" a="1"/>
  <c r="AB29" i="30" s="1"/>
  <c r="AH29" i="30" a="1"/>
  <c r="AH29" i="30" s="1"/>
  <c r="AM29" i="30" a="1"/>
  <c r="AM29" i="30" s="1"/>
  <c r="AS29" i="30" a="1"/>
  <c r="AS29" i="30" s="1"/>
  <c r="AX29" i="30" a="1"/>
  <c r="AX29" i="30" s="1"/>
  <c r="N19" i="31"/>
  <c r="N23" i="31"/>
  <c r="O23" i="31" s="1"/>
  <c r="AV33" i="31"/>
  <c r="M29" i="31"/>
  <c r="AJ29" i="31"/>
  <c r="K30" i="31"/>
  <c r="AG30" i="31"/>
  <c r="T49" i="31"/>
  <c r="AX50" i="31"/>
  <c r="Q36" i="30"/>
  <c r="Y36" i="30"/>
  <c r="AH36" i="30"/>
  <c r="AP36" i="30"/>
  <c r="AX36" i="30"/>
  <c r="U29" i="31"/>
  <c r="AR29" i="31"/>
  <c r="S30" i="31"/>
  <c r="AR30" i="31"/>
  <c r="AY49" i="31"/>
  <c r="I36" i="30"/>
  <c r="R36" i="30"/>
  <c r="Z36" i="30"/>
  <c r="AI36" i="30"/>
  <c r="AQ36" i="30"/>
  <c r="AY36" i="30"/>
  <c r="M37" i="30" a="1"/>
  <c r="M37" i="30" s="1"/>
  <c r="Q37" i="30" a="1"/>
  <c r="Q37" i="30" s="1"/>
  <c r="U37" i="30" a="1"/>
  <c r="U37" i="30" s="1"/>
  <c r="Y37" i="30" a="1"/>
  <c r="Y37" i="30" s="1"/>
  <c r="AC37" i="30" a="1"/>
  <c r="AC37" i="30" s="1"/>
  <c r="AH37" i="30" a="1"/>
  <c r="AH37" i="30" s="1"/>
  <c r="AL37" i="30" a="1"/>
  <c r="AL37" i="30" s="1"/>
  <c r="AP37" i="30" a="1"/>
  <c r="AP37" i="30" s="1"/>
  <c r="AT37" i="30" a="1"/>
  <c r="AT37" i="30" s="1"/>
  <c r="AX37" i="30" a="1"/>
  <c r="AX37" i="30" s="1"/>
  <c r="X29" i="31"/>
  <c r="AS29" i="31"/>
  <c r="W30" i="31"/>
  <c r="AX30" i="31"/>
  <c r="AP30" i="31"/>
  <c r="AH30" i="31"/>
  <c r="BB30" i="31"/>
  <c r="AT30" i="31"/>
  <c r="AL30" i="31"/>
  <c r="AD30" i="31"/>
  <c r="AW30" i="31"/>
  <c r="AM30" i="31"/>
  <c r="AB30" i="31"/>
  <c r="T30" i="31"/>
  <c r="L30" i="31"/>
  <c r="AW29" i="31"/>
  <c r="AO29" i="31"/>
  <c r="AG29" i="31"/>
  <c r="Y29" i="31"/>
  <c r="Q29" i="31"/>
  <c r="H29" i="31"/>
  <c r="AU30" i="31"/>
  <c r="AJ30" i="31"/>
  <c r="Z30" i="31"/>
  <c r="R30" i="31"/>
  <c r="J30" i="31"/>
  <c r="AU29" i="31"/>
  <c r="AM29" i="31"/>
  <c r="AE29" i="31"/>
  <c r="W29" i="31"/>
  <c r="O29" i="31"/>
  <c r="AS30" i="31"/>
  <c r="AI30" i="31"/>
  <c r="Y30" i="31"/>
  <c r="Q30" i="31"/>
  <c r="BB29" i="31"/>
  <c r="AT29" i="31"/>
  <c r="AL29" i="31"/>
  <c r="AD29" i="31"/>
  <c r="V29" i="31"/>
  <c r="N29" i="31"/>
  <c r="AZ30" i="31"/>
  <c r="AO30" i="31"/>
  <c r="AE30" i="31"/>
  <c r="V30" i="31"/>
  <c r="N30" i="31"/>
  <c r="AY29" i="31"/>
  <c r="AQ29" i="31"/>
  <c r="AI29" i="31"/>
  <c r="AA29" i="31"/>
  <c r="S29" i="31"/>
  <c r="K29" i="31"/>
  <c r="AY30" i="31"/>
  <c r="AN30" i="31"/>
  <c r="AC30" i="31"/>
  <c r="U30" i="31"/>
  <c r="M30" i="31"/>
  <c r="AX29" i="31"/>
  <c r="AP29" i="31"/>
  <c r="AH29" i="31"/>
  <c r="Z29" i="31"/>
  <c r="R29" i="31"/>
  <c r="J29" i="31"/>
  <c r="J31" i="31" s="1"/>
  <c r="AC29" i="31"/>
  <c r="AZ29" i="31"/>
  <c r="AA30" i="31"/>
  <c r="AZ50" i="31"/>
  <c r="AR50" i="31"/>
  <c r="AJ50" i="31"/>
  <c r="AB50" i="31"/>
  <c r="T50" i="31"/>
  <c r="L50" i="31"/>
  <c r="AW49" i="31"/>
  <c r="AO49" i="31"/>
  <c r="AG49" i="31"/>
  <c r="Y49" i="31"/>
  <c r="Q49" i="31"/>
  <c r="H49" i="31"/>
  <c r="AV50" i="31"/>
  <c r="AN50" i="31"/>
  <c r="AF50" i="31"/>
  <c r="X50" i="31"/>
  <c r="P50" i="31"/>
  <c r="BA49" i="31"/>
  <c r="AS49" i="31"/>
  <c r="AK49" i="31"/>
  <c r="AC49" i="31"/>
  <c r="U49" i="31"/>
  <c r="M49" i="31"/>
  <c r="AU50" i="31"/>
  <c r="AK50" i="31"/>
  <c r="Z50" i="31"/>
  <c r="O50" i="31"/>
  <c r="AX49" i="31"/>
  <c r="AM49" i="31"/>
  <c r="AB49" i="31"/>
  <c r="R49" i="31"/>
  <c r="AT50" i="31"/>
  <c r="AI50" i="31"/>
  <c r="Y50" i="31"/>
  <c r="N50" i="31"/>
  <c r="AV49" i="31"/>
  <c r="AL49" i="31"/>
  <c r="AA49" i="31"/>
  <c r="P49" i="31"/>
  <c r="AS50" i="31"/>
  <c r="AH50" i="31"/>
  <c r="W50" i="31"/>
  <c r="M50" i="31"/>
  <c r="AU49" i="31"/>
  <c r="AJ49" i="31"/>
  <c r="Z49" i="31"/>
  <c r="O49" i="31"/>
  <c r="BA50" i="31"/>
  <c r="AP50" i="31"/>
  <c r="AE50" i="31"/>
  <c r="U50" i="31"/>
  <c r="J50" i="31"/>
  <c r="AR49" i="31"/>
  <c r="AH49" i="31"/>
  <c r="W49" i="31"/>
  <c r="L49" i="31"/>
  <c r="L51" i="31" s="1"/>
  <c r="AY50" i="31"/>
  <c r="AO50" i="31"/>
  <c r="AD50" i="31"/>
  <c r="S50" i="31"/>
  <c r="BB49" i="31"/>
  <c r="AQ49" i="31"/>
  <c r="AF49" i="31"/>
  <c r="V49" i="31"/>
  <c r="K49" i="31"/>
  <c r="K51" i="31" s="1"/>
  <c r="AL50" i="31"/>
  <c r="AZ49" i="31"/>
  <c r="X49" i="31"/>
  <c r="AC50" i="31"/>
  <c r="AT49" i="31"/>
  <c r="S49" i="31"/>
  <c r="BB50" i="31"/>
  <c r="AA50" i="31"/>
  <c r="AP49" i="31"/>
  <c r="N49" i="31"/>
  <c r="AQ50" i="31"/>
  <c r="Q50" i="31"/>
  <c r="AE49" i="31"/>
  <c r="AM50" i="31"/>
  <c r="K50" i="31"/>
  <c r="AD49" i="31"/>
  <c r="AG50" i="31"/>
  <c r="L25" i="31"/>
  <c r="L27" i="31" s="1"/>
  <c r="M27" i="31" s="1"/>
  <c r="N27" i="31" s="1"/>
  <c r="T25" i="31"/>
  <c r="AB25" i="31"/>
  <c r="AJ25" i="31"/>
  <c r="AR25" i="31"/>
  <c r="AZ25" i="31"/>
  <c r="O26" i="31"/>
  <c r="W26" i="31"/>
  <c r="AE26" i="31"/>
  <c r="AM26" i="31"/>
  <c r="AU26" i="31"/>
  <c r="P21" i="31"/>
  <c r="X21" i="31"/>
  <c r="AF21" i="31"/>
  <c r="AN21" i="31"/>
  <c r="AV21" i="31"/>
  <c r="K22" i="31"/>
  <c r="S22" i="31"/>
  <c r="AA22" i="31"/>
  <c r="AI22" i="31"/>
  <c r="AQ22" i="31"/>
  <c r="O25" i="31"/>
  <c r="W25" i="31"/>
  <c r="AE25" i="31"/>
  <c r="AM25" i="31"/>
  <c r="AU25" i="31"/>
  <c r="J26" i="31"/>
  <c r="R26" i="31"/>
  <c r="Z26" i="31"/>
  <c r="AH26" i="31"/>
  <c r="AP26" i="31"/>
  <c r="AX26" i="31"/>
  <c r="BA46" i="31"/>
  <c r="AS46" i="31"/>
  <c r="AK46" i="31"/>
  <c r="AC46" i="31"/>
  <c r="U46" i="31"/>
  <c r="M46" i="31"/>
  <c r="AX45" i="31"/>
  <c r="AP45" i="31"/>
  <c r="AH45" i="31"/>
  <c r="Z45" i="31"/>
  <c r="R45" i="31"/>
  <c r="J45" i="31"/>
  <c r="J47" i="31" s="1"/>
  <c r="AW46" i="31"/>
  <c r="AO46" i="31"/>
  <c r="AG46" i="31"/>
  <c r="Y46" i="31"/>
  <c r="Q46" i="31"/>
  <c r="BB45" i="31"/>
  <c r="AT45" i="31"/>
  <c r="AL45" i="31"/>
  <c r="AD45" i="31"/>
  <c r="V45" i="31"/>
  <c r="N45" i="31"/>
  <c r="AT46" i="31"/>
  <c r="AI46" i="31"/>
  <c r="X46" i="31"/>
  <c r="N46" i="31"/>
  <c r="AV45" i="31"/>
  <c r="AK45" i="31"/>
  <c r="AA45" i="31"/>
  <c r="P45" i="31"/>
  <c r="AR46" i="31"/>
  <c r="AH46" i="31"/>
  <c r="W46" i="31"/>
  <c r="L46" i="31"/>
  <c r="AU45" i="31"/>
  <c r="AJ45" i="31"/>
  <c r="Y45" i="31"/>
  <c r="O45" i="31"/>
  <c r="BB46" i="31"/>
  <c r="AQ46" i="31"/>
  <c r="AF46" i="31"/>
  <c r="V46" i="31"/>
  <c r="K46" i="31"/>
  <c r="AS45" i="31"/>
  <c r="AI45" i="31"/>
  <c r="X45" i="31"/>
  <c r="M45" i="31"/>
  <c r="AY46" i="31"/>
  <c r="AN46" i="31"/>
  <c r="AD46" i="31"/>
  <c r="S46" i="31"/>
  <c r="BA45" i="31"/>
  <c r="AQ45" i="31"/>
  <c r="AF45" i="31"/>
  <c r="U45" i="31"/>
  <c r="K45" i="31"/>
  <c r="AX46" i="31"/>
  <c r="AM46" i="31"/>
  <c r="AB46" i="31"/>
  <c r="R46" i="31"/>
  <c r="AZ45" i="31"/>
  <c r="AO45" i="31"/>
  <c r="AE45" i="31"/>
  <c r="T45" i="31"/>
  <c r="H45" i="31"/>
  <c r="AM45" i="31"/>
  <c r="T46" i="31"/>
  <c r="AV46" i="31"/>
  <c r="K55" i="31"/>
  <c r="P25" i="31"/>
  <c r="X25" i="31"/>
  <c r="AF25" i="31"/>
  <c r="AN25" i="31"/>
  <c r="AV25" i="31"/>
  <c r="K26" i="31"/>
  <c r="S26" i="31"/>
  <c r="AA26" i="31"/>
  <c r="AI26" i="31"/>
  <c r="AQ26" i="31"/>
  <c r="AY26" i="31"/>
  <c r="L45" i="31"/>
  <c r="AN45" i="31"/>
  <c r="Z46" i="31"/>
  <c r="AZ46" i="31"/>
  <c r="Z25" i="31"/>
  <c r="AH25" i="31"/>
  <c r="AP25" i="31"/>
  <c r="AX25" i="31"/>
  <c r="M26" i="31"/>
  <c r="U26" i="31"/>
  <c r="AC26" i="31"/>
  <c r="AK26" i="31"/>
  <c r="AS26" i="31"/>
  <c r="AU38" i="31"/>
  <c r="AM38" i="31"/>
  <c r="AY38" i="31"/>
  <c r="AQ38" i="31"/>
  <c r="AI38" i="31"/>
  <c r="P37" i="31"/>
  <c r="X37" i="31"/>
  <c r="AF37" i="31"/>
  <c r="AN37" i="31"/>
  <c r="AV37" i="31"/>
  <c r="K38" i="31"/>
  <c r="S38" i="31"/>
  <c r="AA38" i="31"/>
  <c r="AJ38" i="31"/>
  <c r="AT38" i="31"/>
  <c r="BB42" i="31"/>
  <c r="AT42" i="31"/>
  <c r="AL42" i="31"/>
  <c r="AD42" i="31"/>
  <c r="V42" i="31"/>
  <c r="N42" i="31"/>
  <c r="AY41" i="31"/>
  <c r="AQ41" i="31"/>
  <c r="AI41" i="31"/>
  <c r="AA41" i="31"/>
  <c r="S41" i="31"/>
  <c r="K41" i="31"/>
  <c r="K43" i="31" s="1"/>
  <c r="AX42" i="31"/>
  <c r="AP42" i="31"/>
  <c r="AH42" i="31"/>
  <c r="Z42" i="31"/>
  <c r="R42" i="31"/>
  <c r="J42" i="31"/>
  <c r="AU41" i="31"/>
  <c r="AM41" i="31"/>
  <c r="AE41" i="31"/>
  <c r="W41" i="31"/>
  <c r="O41" i="31"/>
  <c r="R41" i="31"/>
  <c r="AC41" i="31"/>
  <c r="AN41" i="31"/>
  <c r="AX41" i="31"/>
  <c r="P42" i="31"/>
  <c r="AA42" i="31"/>
  <c r="AK42" i="31"/>
  <c r="AV42" i="31"/>
  <c r="H37" i="31"/>
  <c r="Q37" i="31"/>
  <c r="Y37" i="31"/>
  <c r="AG37" i="31"/>
  <c r="AO37" i="31"/>
  <c r="AW37" i="31"/>
  <c r="L38" i="31"/>
  <c r="T38" i="31"/>
  <c r="AB38" i="31"/>
  <c r="AK38" i="31"/>
  <c r="AV38" i="31"/>
  <c r="H41" i="31"/>
  <c r="T41" i="31"/>
  <c r="AD41" i="31"/>
  <c r="AO41" i="31"/>
  <c r="AZ41" i="31"/>
  <c r="Q42" i="31"/>
  <c r="AB42" i="31"/>
  <c r="AM42" i="31"/>
  <c r="AW42" i="31"/>
  <c r="K37" i="31"/>
  <c r="K39" i="31" s="1"/>
  <c r="L39" i="31" s="1"/>
  <c r="S37" i="31"/>
  <c r="AA37" i="31"/>
  <c r="AI37" i="31"/>
  <c r="AQ37" i="31"/>
  <c r="AY37" i="31"/>
  <c r="N38" i="31"/>
  <c r="V38" i="31"/>
  <c r="AD38" i="31"/>
  <c r="AN38" i="31"/>
  <c r="AX38" i="31"/>
  <c r="L41" i="31"/>
  <c r="V41" i="31"/>
  <c r="AG41" i="31"/>
  <c r="AR41" i="31"/>
  <c r="BB41" i="31"/>
  <c r="T42" i="31"/>
  <c r="AE42" i="31"/>
  <c r="AO42" i="31"/>
  <c r="AZ42" i="31"/>
  <c r="M37" i="31"/>
  <c r="U37" i="31"/>
  <c r="AC37" i="31"/>
  <c r="AK37" i="31"/>
  <c r="AS37" i="31"/>
  <c r="BA37" i="31"/>
  <c r="P38" i="31"/>
  <c r="X38" i="31"/>
  <c r="AF38" i="31"/>
  <c r="AP38" i="31"/>
  <c r="BA38" i="31"/>
  <c r="N41" i="31"/>
  <c r="Y41" i="31"/>
  <c r="AJ41" i="31"/>
  <c r="AT41" i="31"/>
  <c r="L42" i="31"/>
  <c r="W42" i="31"/>
  <c r="AG42" i="31"/>
  <c r="AR42" i="31"/>
  <c r="L53" i="31"/>
  <c r="L55" i="31" s="1"/>
  <c r="M55" i="31" s="1"/>
  <c r="N55" i="31" s="1"/>
  <c r="O55" i="31" s="1"/>
  <c r="T53" i="31"/>
  <c r="AB53" i="31"/>
  <c r="AJ53" i="31"/>
  <c r="AR53" i="31"/>
  <c r="AZ53" i="31"/>
  <c r="O54" i="31"/>
  <c r="W54" i="31"/>
  <c r="AE54" i="31"/>
  <c r="AM54" i="31"/>
  <c r="AU54" i="31"/>
  <c r="P53" i="31"/>
  <c r="X53" i="31"/>
  <c r="AF53" i="31"/>
  <c r="AN53" i="31"/>
  <c r="AV53" i="31"/>
  <c r="K54" i="31"/>
  <c r="S54" i="31"/>
  <c r="AA54" i="31"/>
  <c r="AI54" i="31"/>
  <c r="AQ54" i="31"/>
  <c r="AZ31" i="30" l="1"/>
  <c r="AY33" i="30"/>
  <c r="CE49" i="28" a="1"/>
  <c r="CE49" i="28" s="1"/>
  <c r="O49" i="28" a="1"/>
  <c r="O49" i="28" s="1"/>
  <c r="CH49" i="28" a="1"/>
  <c r="CH49" i="28" s="1"/>
  <c r="DI37" i="28" a="1"/>
  <c r="DI37" i="28" s="1"/>
  <c r="CE21" i="28" a="1"/>
  <c r="CE21" i="28" s="1"/>
  <c r="DG31" i="28" a="1"/>
  <c r="DG31" i="28" s="1"/>
  <c r="Q43" i="28" a="1"/>
  <c r="Q43" i="28" s="1"/>
  <c r="K10" i="32" a="1"/>
  <c r="K10" i="32" s="1"/>
  <c r="CD31" i="28" a="1"/>
  <c r="CD31" i="28" s="1"/>
  <c r="CG31" i="28" a="1"/>
  <c r="CG31" i="28" s="1"/>
  <c r="CE31" i="28" a="1"/>
  <c r="CE31" i="28" s="1"/>
  <c r="BZ24" i="28" a="1"/>
  <c r="BZ24" i="28" s="1"/>
  <c r="CR21" i="28" a="1"/>
  <c r="CR21" i="28" s="1"/>
  <c r="O21" i="28" a="1"/>
  <c r="O21" i="28" s="1"/>
  <c r="CD34" i="28" a="1"/>
  <c r="CD34" i="28" s="1"/>
  <c r="CW46" i="28" a="1"/>
  <c r="CW46" i="28" s="1"/>
  <c r="CR17" i="28"/>
  <c r="BT40" i="28" a="1"/>
  <c r="BT40" i="28" s="1"/>
  <c r="DH49" i="28" a="1"/>
  <c r="DH49" i="28" s="1"/>
  <c r="CB40" i="28" a="1"/>
  <c r="CB40" i="28" s="1"/>
  <c r="DG20" i="28"/>
  <c r="CX20" i="28"/>
  <c r="BZ21" i="28" a="1"/>
  <c r="BZ21" i="28" s="1"/>
  <c r="Q20" i="28"/>
  <c r="DA21" i="28" a="1"/>
  <c r="DA21" i="28" s="1"/>
  <c r="CD46" i="28" a="1"/>
  <c r="CD46" i="28" s="1"/>
  <c r="CD43" i="28" a="1"/>
  <c r="CD43" i="28" s="1"/>
  <c r="BY24" i="28" a="1"/>
  <c r="BY24" i="28" s="1"/>
  <c r="CK34" i="28" a="1"/>
  <c r="CK34" i="28" s="1"/>
  <c r="BX49" i="28" a="1"/>
  <c r="BX49" i="28" s="1"/>
  <c r="CJ17" i="28"/>
  <c r="CR23" i="28"/>
  <c r="BT16" i="28"/>
  <c r="DH17" i="28"/>
  <c r="CB17" i="28"/>
  <c r="CB46" i="28" a="1"/>
  <c r="CB46" i="28" s="1"/>
  <c r="CA37" i="28" a="1"/>
  <c r="CA37" i="28" s="1"/>
  <c r="Q40" i="28" a="1"/>
  <c r="Q40" i="28" s="1"/>
  <c r="K7" i="32" a="1"/>
  <c r="K7" i="32" s="1"/>
  <c r="CH31" i="28" a="1"/>
  <c r="CH31" i="28" s="1"/>
  <c r="CD30" i="28"/>
  <c r="CW24" i="28" a="1"/>
  <c r="CW24" i="28" s="1"/>
  <c r="BU17" i="28"/>
  <c r="BW31" i="28" a="1"/>
  <c r="BW31" i="28" s="1"/>
  <c r="BW21" i="28" a="1"/>
  <c r="BW21" i="28" s="1"/>
  <c r="DB16" i="28"/>
  <c r="BU40" i="28" a="1"/>
  <c r="BU40" i="28" s="1"/>
  <c r="CC46" i="28" a="1"/>
  <c r="CC46" i="28" s="1"/>
  <c r="CJ34" i="28" a="1"/>
  <c r="CJ34" i="28" s="1"/>
  <c r="CR43" i="28" a="1"/>
  <c r="CR43" i="28" s="1"/>
  <c r="BT46" i="28" a="1"/>
  <c r="BT46" i="28" s="1"/>
  <c r="CE34" i="28" a="1"/>
  <c r="CE34" i="28" s="1"/>
  <c r="CZ17" i="28"/>
  <c r="CB21" i="28" a="1"/>
  <c r="CB21" i="28" s="1"/>
  <c r="DK46" i="28" a="1"/>
  <c r="DK46" i="28" s="1"/>
  <c r="BZ34" i="28" a="1"/>
  <c r="BZ34" i="28" s="1"/>
  <c r="CH37" i="28" a="1"/>
  <c r="CH37" i="28" s="1"/>
  <c r="BT37" i="28" a="1"/>
  <c r="BT37" i="28" s="1"/>
  <c r="CE37" i="28" a="1"/>
  <c r="CE37" i="28" s="1"/>
  <c r="CA31" i="28" a="1"/>
  <c r="CA31" i="28" s="1"/>
  <c r="K11" i="32" a="1"/>
  <c r="K11" i="32" s="1"/>
  <c r="CP31" i="28" a="1"/>
  <c r="CP31" i="28" s="1"/>
  <c r="CM49" i="28" a="1"/>
  <c r="CM49" i="28" s="1"/>
  <c r="CK21" i="28" a="1"/>
  <c r="CK21" i="28" s="1"/>
  <c r="BU34" i="28" a="1"/>
  <c r="BU34" i="28" s="1"/>
  <c r="CJ46" i="28" a="1"/>
  <c r="CJ46" i="28" s="1"/>
  <c r="CR46" i="28" a="1"/>
  <c r="CR46" i="28" s="1"/>
  <c r="BT43" i="28" a="1"/>
  <c r="BT43" i="28" s="1"/>
  <c r="CE24" i="28" a="1"/>
  <c r="CE24" i="28" s="1"/>
  <c r="CZ16" i="28"/>
  <c r="CB16" i="28"/>
  <c r="BT23" i="28"/>
  <c r="DK43" i="28" a="1"/>
  <c r="DK43" i="28" s="1"/>
  <c r="CR49" i="28" a="1"/>
  <c r="CR49" i="28" s="1"/>
  <c r="CJ49" i="28" a="1"/>
  <c r="CJ49" i="28" s="1"/>
  <c r="CB37" i="28" a="1"/>
  <c r="CB37" i="28" s="1"/>
  <c r="K8" i="32" a="1"/>
  <c r="K8" i="32" s="1"/>
  <c r="DF31" i="28" a="1"/>
  <c r="DF31" i="28" s="1"/>
  <c r="CW43" i="28" a="1"/>
  <c r="CW43" i="28" s="1"/>
  <c r="CH24" i="28" a="1"/>
  <c r="CH24" i="28" s="1"/>
  <c r="CH21" i="28" a="1"/>
  <c r="CH21" i="28" s="1"/>
  <c r="CG17" i="28"/>
  <c r="BU46" i="28" a="1"/>
  <c r="BU46" i="28" s="1"/>
  <c r="CW23" i="28"/>
  <c r="CJ40" i="28" a="1"/>
  <c r="CJ40" i="28" s="1"/>
  <c r="CG40" i="28" a="1"/>
  <c r="CG40" i="28" s="1"/>
  <c r="CJ24" i="28" a="1"/>
  <c r="CJ24" i="28" s="1"/>
  <c r="CZ46" i="28" a="1"/>
  <c r="CZ46" i="28" s="1"/>
  <c r="CB23" i="28"/>
  <c r="CE46" i="28" a="1"/>
  <c r="CE46" i="28" s="1"/>
  <c r="CB49" i="28" a="1"/>
  <c r="CB49" i="28" s="1"/>
  <c r="Q34" i="28" a="1"/>
  <c r="Q34" i="28" s="1"/>
  <c r="K12" i="32" a="1"/>
  <c r="K12" i="32" s="1"/>
  <c r="BT31" i="28" a="1"/>
  <c r="BT31" i="28" s="1"/>
  <c r="CD17" i="28"/>
  <c r="BT24" i="28" a="1"/>
  <c r="BT24" i="28" s="1"/>
  <c r="BY21" i="28" a="1"/>
  <c r="BY21" i="28" s="1"/>
  <c r="CD16" i="28"/>
  <c r="CW16" i="28"/>
  <c r="CJ43" i="28" a="1"/>
  <c r="CJ43" i="28" s="1"/>
  <c r="CZ34" i="28" a="1"/>
  <c r="CZ34" i="28" s="1"/>
  <c r="CB34" i="28" a="1"/>
  <c r="CB34" i="28" s="1"/>
  <c r="CR20" i="28"/>
  <c r="CB20" i="28"/>
  <c r="CD49" i="28" a="1"/>
  <c r="CD49" i="28" s="1"/>
  <c r="Q37" i="28" a="1"/>
  <c r="Q37" i="28" s="1"/>
  <c r="CJ37" i="28" a="1"/>
  <c r="CJ37" i="28" s="1"/>
  <c r="Q17" i="28"/>
  <c r="K6" i="32" a="1"/>
  <c r="K6" i="32" s="1"/>
  <c r="CB31" i="28" a="1"/>
  <c r="CB31" i="28" s="1"/>
  <c r="CJ23" i="28"/>
  <c r="CW21" i="28" a="1"/>
  <c r="CW21" i="28" s="1"/>
  <c r="CG24" i="28" a="1"/>
  <c r="CG24" i="28" s="1"/>
  <c r="CD24" i="28" a="1"/>
  <c r="CD24" i="28" s="1"/>
  <c r="CD21" i="28" a="1"/>
  <c r="CD21" i="28" s="1"/>
  <c r="BT21" i="28" a="1"/>
  <c r="BT21" i="28" s="1"/>
  <c r="CS43" i="28" a="1"/>
  <c r="CS43" i="28" s="1"/>
  <c r="BV16" i="28"/>
  <c r="BR37" i="28" a="1"/>
  <c r="BR37" i="28" s="1"/>
  <c r="CX37" i="28" a="1"/>
  <c r="CX37" i="28" s="1"/>
  <c r="CZ40" i="28" a="1"/>
  <c r="CZ40" i="28" s="1"/>
  <c r="AK30" i="30"/>
  <c r="AK33" i="30"/>
  <c r="AL31" i="30"/>
  <c r="AL32" i="30" s="1"/>
  <c r="DI20" i="28"/>
  <c r="DI17" i="28"/>
  <c r="DI34" i="28" a="1"/>
  <c r="DI34" i="28" s="1"/>
  <c r="DI24" i="28" a="1"/>
  <c r="DI24" i="28" s="1"/>
  <c r="DI31" i="28" a="1"/>
  <c r="DI31" i="28" s="1"/>
  <c r="DI16" i="28"/>
  <c r="DI40" i="28" a="1"/>
  <c r="DI40" i="28" s="1"/>
  <c r="DI21" i="28" a="1"/>
  <c r="DI21" i="28" s="1"/>
  <c r="DI43" i="28" a="1"/>
  <c r="DI43" i="28" s="1"/>
  <c r="CU40" i="28" a="1"/>
  <c r="CU40" i="28" s="1"/>
  <c r="AQ39" i="30"/>
  <c r="AP41" i="30"/>
  <c r="AP38" i="30"/>
  <c r="AP40" i="30"/>
  <c r="CY40" i="28" a="1"/>
  <c r="CY40" i="28" s="1"/>
  <c r="CY34" i="28" a="1"/>
  <c r="CY34" i="28" s="1"/>
  <c r="CY21" i="28" a="1"/>
  <c r="CY21" i="28" s="1"/>
  <c r="CY16" i="28"/>
  <c r="CY17" i="28"/>
  <c r="CY24" i="28" a="1"/>
  <c r="CY24" i="28" s="1"/>
  <c r="CY23" i="28"/>
  <c r="CY31" i="28" a="1"/>
  <c r="CY31" i="28" s="1"/>
  <c r="CY37" i="28" a="1"/>
  <c r="CY37" i="28" s="1"/>
  <c r="CY43" i="28" a="1"/>
  <c r="CY43" i="28" s="1"/>
  <c r="CY49" i="28" a="1"/>
  <c r="CY49" i="28" s="1"/>
  <c r="CY46" i="28" a="1"/>
  <c r="CY46" i="28" s="1"/>
  <c r="CV37" i="28" a="1"/>
  <c r="CV37" i="28" s="1"/>
  <c r="CV31" i="28" a="1"/>
  <c r="CV31" i="28" s="1"/>
  <c r="CV21" i="28" a="1"/>
  <c r="CV21" i="28" s="1"/>
  <c r="DA17" i="28"/>
  <c r="DA43" i="28" a="1"/>
  <c r="DA43" i="28" s="1"/>
  <c r="DA37" i="28" a="1"/>
  <c r="DA37" i="28" s="1"/>
  <c r="DA34" i="28" a="1"/>
  <c r="DA34" i="28" s="1"/>
  <c r="DA16" i="28"/>
  <c r="DA46" i="28" a="1"/>
  <c r="DA46" i="28" s="1"/>
  <c r="DA23" i="28"/>
  <c r="DA40" i="28" a="1"/>
  <c r="DA40" i="28" s="1"/>
  <c r="DA24" i="28" a="1"/>
  <c r="DA24" i="28" s="1"/>
  <c r="CU37" i="28" a="1"/>
  <c r="CU37" i="28" s="1"/>
  <c r="CU34" i="28" a="1"/>
  <c r="CU34" i="28" s="1"/>
  <c r="CU43" i="28" a="1"/>
  <c r="CU43" i="28" s="1"/>
  <c r="CU21" i="28" a="1"/>
  <c r="CU21" i="28" s="1"/>
  <c r="CU30" i="28"/>
  <c r="CU46" i="28" a="1"/>
  <c r="CU46" i="28" s="1"/>
  <c r="CU17" i="28"/>
  <c r="CU31" i="28" a="1"/>
  <c r="CU31" i="28" s="1"/>
  <c r="CU49" i="28" a="1"/>
  <c r="CU49" i="28" s="1"/>
  <c r="CU16" i="28"/>
  <c r="CT17" i="28"/>
  <c r="CT46" i="28" a="1"/>
  <c r="CT46" i="28" s="1"/>
  <c r="CT37" i="28" a="1"/>
  <c r="CT37" i="28" s="1"/>
  <c r="CT24" i="28" a="1"/>
  <c r="CT24" i="28" s="1"/>
  <c r="CT43" i="28" a="1"/>
  <c r="CT43" i="28" s="1"/>
  <c r="CT49" i="28" a="1"/>
  <c r="CT49" i="28" s="1"/>
  <c r="CT40" i="28" a="1"/>
  <c r="CT40" i="28" s="1"/>
  <c r="CT20" i="28"/>
  <c r="DG43" i="28" a="1"/>
  <c r="DG43" i="28" s="1"/>
  <c r="DG37" i="28" a="1"/>
  <c r="DG37" i="28" s="1"/>
  <c r="DG49" i="28" a="1"/>
  <c r="DG49" i="28" s="1"/>
  <c r="DG46" i="28" a="1"/>
  <c r="DG46" i="28" s="1"/>
  <c r="DI46" i="28" a="1"/>
  <c r="DI46" i="28" s="1"/>
  <c r="DD34" i="28" a="1"/>
  <c r="DD34" i="28" s="1"/>
  <c r="DD49" i="28" a="1"/>
  <c r="DD49" i="28" s="1"/>
  <c r="DD37" i="28" a="1"/>
  <c r="DD37" i="28" s="1"/>
  <c r="DD31" i="28" a="1"/>
  <c r="DD31" i="28" s="1"/>
  <c r="AH41" i="30"/>
  <c r="AI39" i="30"/>
  <c r="AH38" i="30"/>
  <c r="DE34" i="28" a="1"/>
  <c r="DE34" i="28" s="1"/>
  <c r="DE43" i="28" a="1"/>
  <c r="DE43" i="28" s="1"/>
  <c r="DE40" i="28" a="1"/>
  <c r="DE40" i="28" s="1"/>
  <c r="DE46" i="28" a="1"/>
  <c r="DE46" i="28" s="1"/>
  <c r="DE16" i="28"/>
  <c r="DE23" i="28"/>
  <c r="DE17" i="28"/>
  <c r="DE24" i="28" a="1"/>
  <c r="DE24" i="28" s="1"/>
  <c r="DE21" i="28" a="1"/>
  <c r="DE21" i="28" s="1"/>
  <c r="DE31" i="28" a="1"/>
  <c r="DE31" i="28" s="1"/>
  <c r="DE49" i="28" a="1"/>
  <c r="DE49" i="28" s="1"/>
  <c r="DE37" i="28" a="1"/>
  <c r="DE37" i="28" s="1"/>
  <c r="DJ16" i="28"/>
  <c r="DJ21" i="28" a="1"/>
  <c r="DJ21" i="28" s="1"/>
  <c r="DJ46" i="28" a="1"/>
  <c r="DJ46" i="28" s="1"/>
  <c r="DJ49" i="28" a="1"/>
  <c r="DJ49" i="28" s="1"/>
  <c r="DJ24" i="28" a="1"/>
  <c r="DJ24" i="28" s="1"/>
  <c r="DJ34" i="28" a="1"/>
  <c r="DJ34" i="28" s="1"/>
  <c r="DJ37" i="28" a="1"/>
  <c r="DJ37" i="28" s="1"/>
  <c r="DJ40" i="28" a="1"/>
  <c r="DJ40" i="28" s="1"/>
  <c r="DJ17" i="28"/>
  <c r="DJ43" i="28" a="1"/>
  <c r="DJ43" i="28" s="1"/>
  <c r="DJ23" i="28"/>
  <c r="DJ31" i="28" a="1"/>
  <c r="DJ31" i="28" s="1"/>
  <c r="CT34" i="28" a="1"/>
  <c r="CT34" i="28" s="1"/>
  <c r="BX31" i="28" a="1"/>
  <c r="BX31" i="28" s="1"/>
  <c r="BX37" i="28" a="1"/>
  <c r="BX37" i="28" s="1"/>
  <c r="BX34" i="28" a="1"/>
  <c r="BX34" i="28" s="1"/>
  <c r="AO30" i="30"/>
  <c r="AO33" i="30"/>
  <c r="AP31" i="30"/>
  <c r="AQ23" i="30"/>
  <c r="AQ26" i="30"/>
  <c r="AR24" i="30"/>
  <c r="AJ26" i="30"/>
  <c r="AK24" i="30"/>
  <c r="AJ23" i="30"/>
  <c r="BA26" i="30"/>
  <c r="BB24" i="30"/>
  <c r="BB25" i="30" s="1"/>
  <c r="BA23" i="30"/>
  <c r="BB26" i="30"/>
  <c r="BB23" i="30"/>
  <c r="AK38" i="30"/>
  <c r="AK41" i="30"/>
  <c r="DA49" i="28" a="1"/>
  <c r="DA49" i="28" s="1"/>
  <c r="AY23" i="30"/>
  <c r="AZ24" i="30"/>
  <c r="AZ25" i="30" s="1"/>
  <c r="AY26" i="30"/>
  <c r="CQ31" i="28" a="1"/>
  <c r="CQ31" i="28" s="1"/>
  <c r="CO43" i="28" a="1"/>
  <c r="CO43" i="28" s="1"/>
  <c r="CO34" i="28" a="1"/>
  <c r="CO34" i="28" s="1"/>
  <c r="CO46" i="28" a="1"/>
  <c r="CO46" i="28" s="1"/>
  <c r="CO40" i="28" a="1"/>
  <c r="CO40" i="28" s="1"/>
  <c r="CO23" i="28"/>
  <c r="CO16" i="28"/>
  <c r="CO21" i="28" a="1"/>
  <c r="CO21" i="28" s="1"/>
  <c r="CO17" i="28"/>
  <c r="BS21" i="28" a="1"/>
  <c r="BS21" i="28" s="1"/>
  <c r="BS24" i="28" a="1"/>
  <c r="BS24" i="28" s="1"/>
  <c r="BS17" i="28"/>
  <c r="CS40" i="28" a="1"/>
  <c r="CS40" i="28" s="1"/>
  <c r="L43" i="31"/>
  <c r="M43" i="31" s="1"/>
  <c r="N43" i="31" s="1"/>
  <c r="O43" i="31" s="1"/>
  <c r="P43" i="31" s="1"/>
  <c r="Q43" i="31" s="1"/>
  <c r="R43" i="31" s="1"/>
  <c r="S43" i="31" s="1"/>
  <c r="T43" i="31" s="1"/>
  <c r="U43" i="31" s="1"/>
  <c r="V43" i="31" s="1"/>
  <c r="W43" i="31" s="1"/>
  <c r="X43" i="31" s="1"/>
  <c r="Y43" i="31" s="1"/>
  <c r="Z43" i="31" s="1"/>
  <c r="AA43" i="31" s="1"/>
  <c r="AB43" i="31" s="1"/>
  <c r="AC43" i="31" s="1"/>
  <c r="AD43" i="31" s="1"/>
  <c r="AE43" i="31" s="1"/>
  <c r="AF43" i="31" s="1"/>
  <c r="AG43" i="31" s="1"/>
  <c r="AH43" i="31" s="1"/>
  <c r="AI43" i="31" s="1"/>
  <c r="AJ43" i="31" s="1"/>
  <c r="AK43" i="31" s="1"/>
  <c r="AL43" i="31" s="1"/>
  <c r="AM43" i="31" s="1"/>
  <c r="AN43" i="31" s="1"/>
  <c r="AO43" i="31" s="1"/>
  <c r="AP43" i="31" s="1"/>
  <c r="AQ43" i="31" s="1"/>
  <c r="AR43" i="31" s="1"/>
  <c r="AS43" i="31" s="1"/>
  <c r="AT43" i="31" s="1"/>
  <c r="AU43" i="31" s="1"/>
  <c r="AV43" i="31" s="1"/>
  <c r="AW43" i="31" s="1"/>
  <c r="AX43" i="31" s="1"/>
  <c r="AY43" i="31" s="1"/>
  <c r="AZ43" i="31" s="1"/>
  <c r="BA43" i="31" s="1"/>
  <c r="BB43" i="31" s="1"/>
  <c r="AY41" i="30"/>
  <c r="AZ39" i="30"/>
  <c r="AZ40" i="30" s="1"/>
  <c r="AY38" i="30"/>
  <c r="AM33" i="30"/>
  <c r="AN31" i="30"/>
  <c r="AN32" i="30" s="1"/>
  <c r="AM30" i="30"/>
  <c r="AN33" i="30"/>
  <c r="AO31" i="30"/>
  <c r="AO32" i="30" s="1"/>
  <c r="AN30" i="30"/>
  <c r="AX25" i="30"/>
  <c r="AX23" i="30"/>
  <c r="AX26" i="30"/>
  <c r="AY24" i="30"/>
  <c r="AY25" i="30" s="1"/>
  <c r="AP23" i="30"/>
  <c r="AQ24" i="30"/>
  <c r="AQ25" i="30" s="1"/>
  <c r="AP26" i="30"/>
  <c r="AZ26" i="30"/>
  <c r="BA24" i="30"/>
  <c r="BA25" i="30" s="1"/>
  <c r="AZ23" i="30"/>
  <c r="CA46" i="28" a="1"/>
  <c r="CA46" i="28" s="1"/>
  <c r="CC49" i="28" a="1"/>
  <c r="CC49" i="28" s="1"/>
  <c r="CS49" i="28" a="1"/>
  <c r="CS49" i="28" s="1"/>
  <c r="BS23" i="28"/>
  <c r="CI40" i="28" a="1"/>
  <c r="CI40" i="28" s="1"/>
  <c r="CI23" i="28"/>
  <c r="CI16" i="28"/>
  <c r="CI17" i="28"/>
  <c r="BR31" i="28" a="1"/>
  <c r="BR31" i="28" s="1"/>
  <c r="CC31" i="28" a="1"/>
  <c r="CC31" i="28" s="1"/>
  <c r="BW30" i="28"/>
  <c r="CA23" i="28"/>
  <c r="BR43" i="28" a="1"/>
  <c r="BR43" i="28" s="1"/>
  <c r="BR46" i="28" a="1"/>
  <c r="BR46" i="28" s="1"/>
  <c r="BR34" i="28" a="1"/>
  <c r="BR34" i="28" s="1"/>
  <c r="BR40" i="28" a="1"/>
  <c r="BR40" i="28" s="1"/>
  <c r="BR16" i="28"/>
  <c r="BR17" i="28"/>
  <c r="BR24" i="28" a="1"/>
  <c r="BR24" i="28" s="1"/>
  <c r="BR21" i="28" a="1"/>
  <c r="BR21" i="28" s="1"/>
  <c r="CM21" i="28" a="1"/>
  <c r="CM21" i="28" s="1"/>
  <c r="BY43" i="28" a="1"/>
  <c r="BY43" i="28" s="1"/>
  <c r="BY34" i="28" a="1"/>
  <c r="BY34" i="28" s="1"/>
  <c r="BY46" i="28" a="1"/>
  <c r="BY46" i="28" s="1"/>
  <c r="BY40" i="28" a="1"/>
  <c r="BY40" i="28" s="1"/>
  <c r="BY37" i="28" a="1"/>
  <c r="BY37" i="28" s="1"/>
  <c r="BY16" i="28"/>
  <c r="BY17" i="28"/>
  <c r="CC17" i="28"/>
  <c r="J6" i="32"/>
  <c r="DD43" i="28" a="1"/>
  <c r="DD43" i="28" s="1"/>
  <c r="DD40" i="28" a="1"/>
  <c r="DD40" i="28" s="1"/>
  <c r="DD46" i="28" a="1"/>
  <c r="DD46" i="28" s="1"/>
  <c r="DD23" i="28"/>
  <c r="DD17" i="28"/>
  <c r="DD16" i="28"/>
  <c r="DD24" i="28" a="1"/>
  <c r="DD24" i="28" s="1"/>
  <c r="DD21" i="28" a="1"/>
  <c r="DD21" i="28" s="1"/>
  <c r="DC40" i="28" a="1"/>
  <c r="DC40" i="28" s="1"/>
  <c r="DC17" i="28"/>
  <c r="DC34" i="28" a="1"/>
  <c r="DC34" i="28" s="1"/>
  <c r="DC24" i="28" a="1"/>
  <c r="DC24" i="28" s="1"/>
  <c r="DC16" i="28"/>
  <c r="CT16" i="28"/>
  <c r="CK46" i="28" a="1"/>
  <c r="CK46" i="28" s="1"/>
  <c r="CU24" i="28" a="1"/>
  <c r="CU24" i="28" s="1"/>
  <c r="CG46" i="28" a="1"/>
  <c r="CG46" i="28" s="1"/>
  <c r="DH16" i="28"/>
  <c r="CE40" i="28" a="1"/>
  <c r="CE40" i="28" s="1"/>
  <c r="BS16" i="28"/>
  <c r="AW33" i="30"/>
  <c r="AX31" i="30"/>
  <c r="AX32" i="30" s="1"/>
  <c r="AW32" i="30"/>
  <c r="AW30" i="30"/>
  <c r="AQ41" i="30"/>
  <c r="AR39" i="30"/>
  <c r="AR40" i="30" s="1"/>
  <c r="AQ40" i="30"/>
  <c r="AQ38" i="30"/>
  <c r="AU33" i="30"/>
  <c r="AV31" i="30"/>
  <c r="AV32" i="30" s="1"/>
  <c r="AU30" i="30"/>
  <c r="CL24" i="28" a="1"/>
  <c r="CL24" i="28" s="1"/>
  <c r="CL23" i="28"/>
  <c r="CL16" i="28"/>
  <c r="BB30" i="30"/>
  <c r="BB33" i="30"/>
  <c r="AW25" i="30"/>
  <c r="AW23" i="30"/>
  <c r="AX24" i="30"/>
  <c r="AW26" i="30"/>
  <c r="CL49" i="28" a="1"/>
  <c r="CL49" i="28" s="1"/>
  <c r="CV43" i="28" a="1"/>
  <c r="CV43" i="28" s="1"/>
  <c r="CV40" i="28" a="1"/>
  <c r="CV40" i="28" s="1"/>
  <c r="CV34" i="28" a="1"/>
  <c r="CV34" i="28" s="1"/>
  <c r="CV46" i="28" a="1"/>
  <c r="CV46" i="28" s="1"/>
  <c r="CV49" i="28" a="1"/>
  <c r="CV49" i="28" s="1"/>
  <c r="CV17" i="28"/>
  <c r="CV16" i="28"/>
  <c r="CV24" i="28" a="1"/>
  <c r="CV24" i="28" s="1"/>
  <c r="CV23" i="28"/>
  <c r="CK49" i="28" a="1"/>
  <c r="CK49" i="28" s="1"/>
  <c r="CX46" i="28" a="1"/>
  <c r="CX46" i="28" s="1"/>
  <c r="CX40" i="28" a="1"/>
  <c r="CX40" i="28" s="1"/>
  <c r="CX43" i="28" a="1"/>
  <c r="CX43" i="28" s="1"/>
  <c r="CX34" i="28" a="1"/>
  <c r="CX34" i="28" s="1"/>
  <c r="CX16" i="28"/>
  <c r="CX23" i="28"/>
  <c r="CX17" i="28"/>
  <c r="CX21" i="28" a="1"/>
  <c r="CX21" i="28" s="1"/>
  <c r="CX24" i="28" a="1"/>
  <c r="CX24" i="28" s="1"/>
  <c r="K47" i="31"/>
  <c r="L47" i="31" s="1"/>
  <c r="M47" i="31" s="1"/>
  <c r="N47" i="31" s="1"/>
  <c r="O47" i="31" s="1"/>
  <c r="P47" i="31" s="1"/>
  <c r="Q47" i="31" s="1"/>
  <c r="R47" i="31" s="1"/>
  <c r="S47" i="31" s="1"/>
  <c r="T47" i="31" s="1"/>
  <c r="U47" i="31" s="1"/>
  <c r="V47" i="31" s="1"/>
  <c r="W47" i="31" s="1"/>
  <c r="X47" i="31" s="1"/>
  <c r="Y47" i="31" s="1"/>
  <c r="Z47" i="31" s="1"/>
  <c r="AA47" i="31" s="1"/>
  <c r="AB47" i="31" s="1"/>
  <c r="AC47" i="31" s="1"/>
  <c r="AD47" i="31" s="1"/>
  <c r="AE47" i="31" s="1"/>
  <c r="AF47" i="31" s="1"/>
  <c r="AG47" i="31" s="1"/>
  <c r="AH47" i="31" s="1"/>
  <c r="AI47" i="31" s="1"/>
  <c r="AJ47" i="31" s="1"/>
  <c r="AK47" i="31" s="1"/>
  <c r="AL47" i="31" s="1"/>
  <c r="AM47" i="31" s="1"/>
  <c r="AN47" i="31" s="1"/>
  <c r="AO47" i="31" s="1"/>
  <c r="AP47" i="31" s="1"/>
  <c r="AQ47" i="31" s="1"/>
  <c r="AR47" i="31" s="1"/>
  <c r="AS47" i="31" s="1"/>
  <c r="AT47" i="31" s="1"/>
  <c r="AU47" i="31" s="1"/>
  <c r="AV47" i="31" s="1"/>
  <c r="AW47" i="31" s="1"/>
  <c r="AX47" i="31" s="1"/>
  <c r="AY47" i="31" s="1"/>
  <c r="AZ47" i="31" s="1"/>
  <c r="BA47" i="31" s="1"/>
  <c r="BB47" i="31" s="1"/>
  <c r="O27" i="31"/>
  <c r="M51" i="31"/>
  <c r="N51" i="31" s="1"/>
  <c r="O51" i="31" s="1"/>
  <c r="P51" i="31" s="1"/>
  <c r="Q51" i="31" s="1"/>
  <c r="R51" i="31" s="1"/>
  <c r="S51" i="31" s="1"/>
  <c r="T51" i="31" s="1"/>
  <c r="U51" i="31" s="1"/>
  <c r="V51" i="31" s="1"/>
  <c r="W51" i="31" s="1"/>
  <c r="X51" i="31" s="1"/>
  <c r="Y51" i="31" s="1"/>
  <c r="Z51" i="31" s="1"/>
  <c r="AA51" i="31" s="1"/>
  <c r="AB51" i="31" s="1"/>
  <c r="AC51" i="31" s="1"/>
  <c r="AD51" i="31" s="1"/>
  <c r="AE51" i="31" s="1"/>
  <c r="AF51" i="31" s="1"/>
  <c r="AG51" i="31" s="1"/>
  <c r="AH51" i="31" s="1"/>
  <c r="AI51" i="31" s="1"/>
  <c r="AJ51" i="31" s="1"/>
  <c r="AK51" i="31" s="1"/>
  <c r="AL51" i="31" s="1"/>
  <c r="AM51" i="31" s="1"/>
  <c r="AN51" i="31" s="1"/>
  <c r="AO51" i="31" s="1"/>
  <c r="AP51" i="31" s="1"/>
  <c r="AQ51" i="31" s="1"/>
  <c r="AR51" i="31" s="1"/>
  <c r="AS51" i="31" s="1"/>
  <c r="AT51" i="31" s="1"/>
  <c r="AU51" i="31" s="1"/>
  <c r="AV51" i="31" s="1"/>
  <c r="AW51" i="31" s="1"/>
  <c r="AX51" i="31" s="1"/>
  <c r="AY51" i="31" s="1"/>
  <c r="AZ51" i="31" s="1"/>
  <c r="BA51" i="31" s="1"/>
  <c r="BB51" i="31" s="1"/>
  <c r="K31" i="31"/>
  <c r="L31" i="31" s="1"/>
  <c r="M31" i="31" s="1"/>
  <c r="N31" i="31" s="1"/>
  <c r="O31" i="31" s="1"/>
  <c r="P31" i="31" s="1"/>
  <c r="Q31" i="31" s="1"/>
  <c r="R31" i="31" s="1"/>
  <c r="S31" i="31" s="1"/>
  <c r="T31" i="31" s="1"/>
  <c r="U31" i="31" s="1"/>
  <c r="V31" i="31" s="1"/>
  <c r="W31" i="31" s="1"/>
  <c r="X31" i="31" s="1"/>
  <c r="Y31" i="31" s="1"/>
  <c r="Z31" i="31" s="1"/>
  <c r="AA31" i="31" s="1"/>
  <c r="AB31" i="31" s="1"/>
  <c r="AC31" i="31" s="1"/>
  <c r="AD31" i="31" s="1"/>
  <c r="AE31" i="31" s="1"/>
  <c r="AF31" i="31" s="1"/>
  <c r="AG31" i="31" s="1"/>
  <c r="AH31" i="31" s="1"/>
  <c r="AI31" i="31" s="1"/>
  <c r="AJ31" i="31" s="1"/>
  <c r="AK31" i="31" s="1"/>
  <c r="AL31" i="31" s="1"/>
  <c r="AM31" i="31" s="1"/>
  <c r="AN31" i="31" s="1"/>
  <c r="AO31" i="31" s="1"/>
  <c r="AP31" i="31" s="1"/>
  <c r="AQ31" i="31" s="1"/>
  <c r="AR31" i="31" s="1"/>
  <c r="AS31" i="31" s="1"/>
  <c r="AT31" i="31" s="1"/>
  <c r="AU31" i="31" s="1"/>
  <c r="AV31" i="31" s="1"/>
  <c r="AW31" i="31" s="1"/>
  <c r="AX31" i="31" s="1"/>
  <c r="AY31" i="31" s="1"/>
  <c r="AZ31" i="31" s="1"/>
  <c r="BA31" i="31" s="1"/>
  <c r="BB31" i="31" s="1"/>
  <c r="AI41" i="30"/>
  <c r="AJ39" i="30"/>
  <c r="AJ40" i="30" s="1"/>
  <c r="AI40" i="30"/>
  <c r="AI38" i="30"/>
  <c r="AR30" i="30"/>
  <c r="AS31" i="30"/>
  <c r="AR33" i="30"/>
  <c r="AP30" i="30"/>
  <c r="AQ31" i="30"/>
  <c r="AQ32" i="30" s="1"/>
  <c r="AP32" i="30"/>
  <c r="AP33" i="30"/>
  <c r="AM26" i="30"/>
  <c r="AM23" i="30"/>
  <c r="AN24" i="30"/>
  <c r="BS46" i="28" a="1"/>
  <c r="BS46" i="28" s="1"/>
  <c r="DC43" i="28" a="1"/>
  <c r="DC43" i="28" s="1"/>
  <c r="BW43" i="28" a="1"/>
  <c r="BW43" i="28" s="1"/>
  <c r="CN49" i="28" a="1"/>
  <c r="CN49" i="28" s="1"/>
  <c r="BW49" i="28" a="1"/>
  <c r="BW49" i="28" s="1"/>
  <c r="CM37" i="28" a="1"/>
  <c r="CM37" i="28" s="1"/>
  <c r="BW37" i="28" a="1"/>
  <c r="BW37" i="28" s="1"/>
  <c r="CS16" i="28"/>
  <c r="BS34" i="28" a="1"/>
  <c r="BS34" i="28" s="1"/>
  <c r="CK31" i="28" a="1"/>
  <c r="CK31" i="28" s="1"/>
  <c r="DC31" i="28" a="1"/>
  <c r="DC31" i="28" s="1"/>
  <c r="DH31" i="28" a="1"/>
  <c r="DH31" i="28" s="1"/>
  <c r="CI21" i="28" a="1"/>
  <c r="CI21" i="28" s="1"/>
  <c r="CW30" i="28"/>
  <c r="CW17" i="28"/>
  <c r="CL17" i="28"/>
  <c r="CC24" i="28" a="1"/>
  <c r="CC24" i="28" s="1"/>
  <c r="CN46" i="28" a="1"/>
  <c r="CN46" i="28" s="1"/>
  <c r="CN40" i="28" a="1"/>
  <c r="CN40" i="28" s="1"/>
  <c r="CN43" i="28" a="1"/>
  <c r="CN43" i="28" s="1"/>
  <c r="CN34" i="28" a="1"/>
  <c r="CN34" i="28" s="1"/>
  <c r="CN24" i="28" a="1"/>
  <c r="CN24" i="28" s="1"/>
  <c r="CN17" i="28"/>
  <c r="CN16" i="28"/>
  <c r="CN23" i="28"/>
  <c r="DK34" i="28" a="1"/>
  <c r="DK34" i="28" s="1"/>
  <c r="DK24" i="28" a="1"/>
  <c r="DK24" i="28" s="1"/>
  <c r="DK17" i="28"/>
  <c r="DK40" i="28" a="1"/>
  <c r="DK40" i="28" s="1"/>
  <c r="DK37" i="28" a="1"/>
  <c r="DK37" i="28" s="1"/>
  <c r="DK16" i="28"/>
  <c r="DB43" i="28" a="1"/>
  <c r="DB43" i="28" s="1"/>
  <c r="CL21" i="28" a="1"/>
  <c r="CL21" i="28" s="1"/>
  <c r="CK20" i="28"/>
  <c r="CK40" i="28" a="1"/>
  <c r="CK40" i="28" s="1"/>
  <c r="BV23" i="28"/>
  <c r="CW40" i="28" a="1"/>
  <c r="CW40" i="28" s="1"/>
  <c r="DF46" i="28" a="1"/>
  <c r="DF46" i="28" s="1"/>
  <c r="DF43" i="28" a="1"/>
  <c r="DF43" i="28" s="1"/>
  <c r="DF40" i="28" a="1"/>
  <c r="DF40" i="28" s="1"/>
  <c r="DF16" i="28"/>
  <c r="DF23" i="28"/>
  <c r="DF17" i="28"/>
  <c r="CG23" i="28"/>
  <c r="DF21" i="28" a="1"/>
  <c r="DF21" i="28" s="1"/>
  <c r="DH46" i="28" a="1"/>
  <c r="DH46" i="28" s="1"/>
  <c r="BR20" i="28"/>
  <c r="CQ34" i="28" a="1"/>
  <c r="CQ34" i="28" s="1"/>
  <c r="CQ40" i="28" a="1"/>
  <c r="CQ40" i="28" s="1"/>
  <c r="CQ16" i="28"/>
  <c r="CQ37" i="28" a="1"/>
  <c r="CQ37" i="28" s="1"/>
  <c r="CQ17" i="28"/>
  <c r="AV33" i="30"/>
  <c r="AW31" i="30"/>
  <c r="AV30" i="30"/>
  <c r="X23" i="31"/>
  <c r="Y23" i="31" s="1"/>
  <c r="Z23" i="31" s="1"/>
  <c r="AA23" i="31" s="1"/>
  <c r="AB23" i="31" s="1"/>
  <c r="AC23" i="31" s="1"/>
  <c r="AD23" i="31" s="1"/>
  <c r="AE23" i="31" s="1"/>
  <c r="AF23" i="31" s="1"/>
  <c r="AG23" i="31" s="1"/>
  <c r="AH23" i="31" s="1"/>
  <c r="AI23" i="31" s="1"/>
  <c r="AJ23" i="31" s="1"/>
  <c r="AK23" i="31" s="1"/>
  <c r="AL23" i="31" s="1"/>
  <c r="AM23" i="31" s="1"/>
  <c r="AN23" i="31" s="1"/>
  <c r="AO23" i="31" s="1"/>
  <c r="AP23" i="31" s="1"/>
  <c r="AQ23" i="31" s="1"/>
  <c r="AR23" i="31" s="1"/>
  <c r="AS23" i="31" s="1"/>
  <c r="AT23" i="31" s="1"/>
  <c r="AU23" i="31" s="1"/>
  <c r="AV23" i="31" s="1"/>
  <c r="AW23" i="31" s="1"/>
  <c r="AX23" i="31" s="1"/>
  <c r="AY23" i="31" s="1"/>
  <c r="AZ23" i="31" s="1"/>
  <c r="BA23" i="31" s="1"/>
  <c r="BB23" i="31" s="1"/>
  <c r="AH30" i="30"/>
  <c r="AI31" i="30"/>
  <c r="AI32" i="30" s="1"/>
  <c r="AH33" i="30"/>
  <c r="K35" i="31"/>
  <c r="L35" i="31" s="1"/>
  <c r="M35" i="31" s="1"/>
  <c r="N35" i="31" s="1"/>
  <c r="O35" i="31" s="1"/>
  <c r="P35" i="31" s="1"/>
  <c r="Q35" i="31" s="1"/>
  <c r="R35" i="31" s="1"/>
  <c r="S35" i="31" s="1"/>
  <c r="T35" i="31" s="1"/>
  <c r="U35" i="31" s="1"/>
  <c r="V35" i="31" s="1"/>
  <c r="W35" i="31" s="1"/>
  <c r="X35" i="31" s="1"/>
  <c r="Y35" i="31" s="1"/>
  <c r="Z35" i="31" s="1"/>
  <c r="AA35" i="31" s="1"/>
  <c r="AB35" i="31" s="1"/>
  <c r="AC35" i="31" s="1"/>
  <c r="AD35" i="31" s="1"/>
  <c r="AE35" i="31" s="1"/>
  <c r="AF35" i="31" s="1"/>
  <c r="AG35" i="31" s="1"/>
  <c r="AH35" i="31" s="1"/>
  <c r="AI35" i="31" s="1"/>
  <c r="AJ35" i="31" s="1"/>
  <c r="AK35" i="31" s="1"/>
  <c r="AL35" i="31" s="1"/>
  <c r="AM35" i="31" s="1"/>
  <c r="AN35" i="31" s="1"/>
  <c r="AO35" i="31" s="1"/>
  <c r="AP35" i="31" s="1"/>
  <c r="AQ35" i="31" s="1"/>
  <c r="AR35" i="31" s="1"/>
  <c r="AS35" i="31" s="1"/>
  <c r="AT35" i="31" s="1"/>
  <c r="AU35" i="31" s="1"/>
  <c r="AV35" i="31" s="1"/>
  <c r="AW35" i="31" s="1"/>
  <c r="AX35" i="31" s="1"/>
  <c r="AY35" i="31" s="1"/>
  <c r="AZ35" i="31" s="1"/>
  <c r="BA35" i="31" s="1"/>
  <c r="BB35" i="31" s="1"/>
  <c r="BA30" i="30"/>
  <c r="BB31" i="30"/>
  <c r="BB32" i="30" s="1"/>
  <c r="BA33" i="30"/>
  <c r="AJ30" i="30"/>
  <c r="AJ33" i="30"/>
  <c r="AK31" i="30"/>
  <c r="AK32" i="30" s="1"/>
  <c r="AT30" i="30"/>
  <c r="AT33" i="30"/>
  <c r="AU31" i="30"/>
  <c r="AU32" i="30" s="1"/>
  <c r="AO23" i="30"/>
  <c r="AP24" i="30"/>
  <c r="AP25" i="30" s="1"/>
  <c r="AO26" i="30"/>
  <c r="BS43" i="28" a="1"/>
  <c r="BS43" i="28" s="1"/>
  <c r="CK37" i="28" a="1"/>
  <c r="CK37" i="28" s="1"/>
  <c r="CC37" i="28" a="1"/>
  <c r="CC37" i="28" s="1"/>
  <c r="CK16" i="28"/>
  <c r="BS40" i="28" a="1"/>
  <c r="BS40" i="28" s="1"/>
  <c r="CO31" i="28" a="1"/>
  <c r="CO31" i="28" s="1"/>
  <c r="CF46" i="28" a="1"/>
  <c r="CF46" i="28" s="1"/>
  <c r="CF43" i="28" a="1"/>
  <c r="CF43" i="28" s="1"/>
  <c r="CF40" i="28" a="1"/>
  <c r="CF40" i="28" s="1"/>
  <c r="CF34" i="28" a="1"/>
  <c r="CF34" i="28" s="1"/>
  <c r="CF17" i="28"/>
  <c r="CF23" i="28"/>
  <c r="CF16" i="28"/>
  <c r="CF24" i="28" a="1"/>
  <c r="CF24" i="28" s="1"/>
  <c r="BW40" i="28" a="1"/>
  <c r="BW40" i="28" s="1"/>
  <c r="BW34" i="28" a="1"/>
  <c r="BW34" i="28" s="1"/>
  <c r="BW17" i="28"/>
  <c r="BW24" i="28" a="1"/>
  <c r="BW24" i="28" s="1"/>
  <c r="BW16" i="28"/>
  <c r="DB40" i="28" a="1"/>
  <c r="DB40" i="28" s="1"/>
  <c r="CC21" i="28" a="1"/>
  <c r="CC21" i="28" s="1"/>
  <c r="CK43" i="28" a="1"/>
  <c r="CK43" i="28" s="1"/>
  <c r="BZ46" i="28" a="1"/>
  <c r="BZ46" i="28" s="1"/>
  <c r="BZ40" i="28" a="1"/>
  <c r="BZ40" i="28" s="1"/>
  <c r="BZ43" i="28" a="1"/>
  <c r="BZ43" i="28" s="1"/>
  <c r="BZ37" i="28" a="1"/>
  <c r="BZ37" i="28" s="1"/>
  <c r="BZ23" i="28"/>
  <c r="BZ16" i="28"/>
  <c r="BZ17" i="28"/>
  <c r="CG16" i="28"/>
  <c r="DH21" i="28" a="1"/>
  <c r="DH21" i="28" s="1"/>
  <c r="DH40" i="28" a="1"/>
  <c r="DH40" i="28" s="1"/>
  <c r="CC23" i="28"/>
  <c r="AR26" i="30"/>
  <c r="AS24" i="30"/>
  <c r="AS25" i="30" s="1"/>
  <c r="AR25" i="30"/>
  <c r="AR23" i="30"/>
  <c r="AN23" i="30"/>
  <c r="AN26" i="30"/>
  <c r="AO24" i="30"/>
  <c r="AO25" i="30" s="1"/>
  <c r="AN25" i="30"/>
  <c r="DC46" i="28" a="1"/>
  <c r="DC46" i="28" s="1"/>
  <c r="CA34" i="28" a="1"/>
  <c r="CA34" i="28" s="1"/>
  <c r="CA40" i="28" a="1"/>
  <c r="CA40" i="28" s="1"/>
  <c r="CA16" i="28"/>
  <c r="CA17" i="28"/>
  <c r="CA24" i="28" a="1"/>
  <c r="CA24" i="28" s="1"/>
  <c r="CA21" i="28" a="1"/>
  <c r="CA21" i="28" s="1"/>
  <c r="BS31" i="28" a="1"/>
  <c r="BS31" i="28" s="1"/>
  <c r="DB34" i="28" a="1"/>
  <c r="DB34" i="28" s="1"/>
  <c r="CM34" i="28" a="1"/>
  <c r="CM34" i="28" s="1"/>
  <c r="CM40" i="28" a="1"/>
  <c r="CM40" i="28" s="1"/>
  <c r="CM17" i="28"/>
  <c r="CM24" i="28" a="1"/>
  <c r="CM24" i="28" s="1"/>
  <c r="CM16" i="28"/>
  <c r="P27" i="31"/>
  <c r="Q27" i="31" s="1"/>
  <c r="R27" i="31" s="1"/>
  <c r="S27" i="31" s="1"/>
  <c r="T27" i="31" s="1"/>
  <c r="U27" i="31" s="1"/>
  <c r="V27" i="31" s="1"/>
  <c r="W27" i="31" s="1"/>
  <c r="X27" i="31" s="1"/>
  <c r="Y27" i="31" s="1"/>
  <c r="Z27" i="31" s="1"/>
  <c r="AA27" i="31" s="1"/>
  <c r="AB27" i="31" s="1"/>
  <c r="AC27" i="31" s="1"/>
  <c r="AD27" i="31" s="1"/>
  <c r="AE27" i="31" s="1"/>
  <c r="AF27" i="31" s="1"/>
  <c r="AG27" i="31" s="1"/>
  <c r="AH27" i="31" s="1"/>
  <c r="AI27" i="31" s="1"/>
  <c r="AJ27" i="31" s="1"/>
  <c r="AK27" i="31" s="1"/>
  <c r="AL27" i="31" s="1"/>
  <c r="AM27" i="31" s="1"/>
  <c r="AN27" i="31" s="1"/>
  <c r="AO27" i="31" s="1"/>
  <c r="AP27" i="31" s="1"/>
  <c r="AQ27" i="31" s="1"/>
  <c r="AR27" i="31" s="1"/>
  <c r="AS27" i="31" s="1"/>
  <c r="AT27" i="31" s="1"/>
  <c r="AU27" i="31" s="1"/>
  <c r="AV27" i="31" s="1"/>
  <c r="AW27" i="31" s="1"/>
  <c r="AX27" i="31" s="1"/>
  <c r="AY27" i="31" s="1"/>
  <c r="AZ27" i="31" s="1"/>
  <c r="BA27" i="31" s="1"/>
  <c r="BB27" i="31" s="1"/>
  <c r="P23" i="31"/>
  <c r="Q23" i="31" s="1"/>
  <c r="R23" i="31" s="1"/>
  <c r="S23" i="31" s="1"/>
  <c r="T23" i="31" s="1"/>
  <c r="U23" i="31" s="1"/>
  <c r="V23" i="31" s="1"/>
  <c r="W23" i="31" s="1"/>
  <c r="AS32" i="30"/>
  <c r="AS30" i="30"/>
  <c r="AT31" i="30"/>
  <c r="AT32" i="30" s="1"/>
  <c r="AS33" i="30"/>
  <c r="AQ30" i="30"/>
  <c r="AR31" i="30"/>
  <c r="AR32" i="30" s="1"/>
  <c r="AQ33" i="30"/>
  <c r="AK26" i="30"/>
  <c r="AK25" i="30"/>
  <c r="AL24" i="30"/>
  <c r="AL25" i="30" s="1"/>
  <c r="AK23" i="30"/>
  <c r="AL26" i="30"/>
  <c r="AM24" i="30"/>
  <c r="AM25" i="30" s="1"/>
  <c r="AL23" i="30"/>
  <c r="CQ46" i="28" a="1"/>
  <c r="CQ46" i="28" s="1"/>
  <c r="CQ49" i="28" a="1"/>
  <c r="CQ49" i="28" s="1"/>
  <c r="CO49" i="28" a="1"/>
  <c r="CO49" i="28" s="1"/>
  <c r="BR49" i="28" a="1"/>
  <c r="BR49" i="28" s="1"/>
  <c r="CX49" i="28" a="1"/>
  <c r="CX49" i="28" s="1"/>
  <c r="CL37" i="28" a="1"/>
  <c r="CL37" i="28" s="1"/>
  <c r="DB21" i="28" a="1"/>
  <c r="DB21" i="28" s="1"/>
  <c r="CC16" i="28"/>
  <c r="CX31" i="28" a="1"/>
  <c r="CX31" i="28" s="1"/>
  <c r="CS31" i="28" a="1"/>
  <c r="CS31" i="28" s="1"/>
  <c r="DC20" i="28"/>
  <c r="DB17" i="28"/>
  <c r="CQ23" i="28"/>
  <c r="CK24" i="28" a="1"/>
  <c r="CK24" i="28" s="1"/>
  <c r="R8" i="28"/>
  <c r="N23" i="28"/>
  <c r="BX43" i="28" a="1"/>
  <c r="BX43" i="28" s="1"/>
  <c r="BX46" i="28" a="1"/>
  <c r="BX46" i="28" s="1"/>
  <c r="BX40" i="28" a="1"/>
  <c r="BX40" i="28" s="1"/>
  <c r="BX17" i="28"/>
  <c r="BX16" i="28"/>
  <c r="BX24" i="28" a="1"/>
  <c r="BX24" i="28" s="1"/>
  <c r="BX23" i="28"/>
  <c r="N21" i="28" a="1"/>
  <c r="N21" i="28" s="1"/>
  <c r="N31" i="28" a="1"/>
  <c r="N31" i="28" s="1"/>
  <c r="DB46" i="28" a="1"/>
  <c r="DB46" i="28" s="1"/>
  <c r="BX21" i="28" a="1"/>
  <c r="BX21" i="28" s="1"/>
  <c r="CL43" i="28" a="1"/>
  <c r="CL43" i="28" s="1"/>
  <c r="DC21" i="28" a="1"/>
  <c r="DC21" i="28" s="1"/>
  <c r="DI49" i="28" a="1"/>
  <c r="DI49" i="28" s="1"/>
  <c r="CS34" i="28" a="1"/>
  <c r="CS34" i="28" s="1"/>
  <c r="CC40" i="28" a="1"/>
  <c r="CC40" i="28" s="1"/>
  <c r="CP43" i="28" a="1"/>
  <c r="CP43" i="28" s="1"/>
  <c r="CP46" i="28" a="1"/>
  <c r="CP46" i="28" s="1"/>
  <c r="CP40" i="28" a="1"/>
  <c r="CP40" i="28" s="1"/>
  <c r="CP24" i="28" a="1"/>
  <c r="CP24" i="28" s="1"/>
  <c r="CP16" i="28"/>
  <c r="CP21" i="28" a="1"/>
  <c r="CP21" i="28" s="1"/>
  <c r="CP23" i="28"/>
  <c r="CP34" i="28" a="1"/>
  <c r="CP34" i="28" s="1"/>
  <c r="CP17" i="28"/>
  <c r="CH43" i="28" a="1"/>
  <c r="CH43" i="28" s="1"/>
  <c r="CH34" i="28" a="1"/>
  <c r="CH34" i="28" s="1"/>
  <c r="CH40" i="28" a="1"/>
  <c r="CH40" i="28" s="1"/>
  <c r="CH46" i="28" a="1"/>
  <c r="CH46" i="28" s="1"/>
  <c r="CH16" i="28"/>
  <c r="CH17" i="28"/>
  <c r="CG21" i="28" a="1"/>
  <c r="CG21" i="28" s="1"/>
  <c r="DH24" i="28" a="1"/>
  <c r="DH24" i="28" s="1"/>
  <c r="CE16" i="28"/>
  <c r="AZ32" i="30"/>
  <c r="AZ30" i="30"/>
  <c r="BA31" i="30"/>
  <c r="BA32" i="30" s="1"/>
  <c r="AZ33" i="30"/>
  <c r="AH23" i="30"/>
  <c r="AH26" i="30"/>
  <c r="AI24" i="30"/>
  <c r="CS37" i="28" a="1"/>
  <c r="CS37" i="28" s="1"/>
  <c r="DB24" i="28" a="1"/>
  <c r="DB24" i="28" s="1"/>
  <c r="P55" i="31"/>
  <c r="Q55" i="31" s="1"/>
  <c r="R55" i="31" s="1"/>
  <c r="S55" i="31" s="1"/>
  <c r="T55" i="31" s="1"/>
  <c r="U55" i="31" s="1"/>
  <c r="V55" i="31" s="1"/>
  <c r="W55" i="31" s="1"/>
  <c r="X55" i="31" s="1"/>
  <c r="Y55" i="31" s="1"/>
  <c r="Z55" i="31" s="1"/>
  <c r="AA55" i="31" s="1"/>
  <c r="AB55" i="31" s="1"/>
  <c r="AC55" i="31" s="1"/>
  <c r="AD55" i="31" s="1"/>
  <c r="AE55" i="31" s="1"/>
  <c r="AF55" i="31" s="1"/>
  <c r="AG55" i="31" s="1"/>
  <c r="AH55" i="31" s="1"/>
  <c r="AI55" i="31" s="1"/>
  <c r="AJ55" i="31" s="1"/>
  <c r="AK55" i="31" s="1"/>
  <c r="AL55" i="31" s="1"/>
  <c r="AM55" i="31" s="1"/>
  <c r="AN55" i="31" s="1"/>
  <c r="AO55" i="31" s="1"/>
  <c r="AP55" i="31" s="1"/>
  <c r="AQ55" i="31" s="1"/>
  <c r="AR55" i="31" s="1"/>
  <c r="AS55" i="31" s="1"/>
  <c r="AT55" i="31" s="1"/>
  <c r="AU55" i="31" s="1"/>
  <c r="AV55" i="31" s="1"/>
  <c r="AW55" i="31" s="1"/>
  <c r="AX55" i="31" s="1"/>
  <c r="AY55" i="31" s="1"/>
  <c r="AZ55" i="31" s="1"/>
  <c r="BA55" i="31" s="1"/>
  <c r="BB55" i="31" s="1"/>
  <c r="M39" i="31"/>
  <c r="N39" i="31" s="1"/>
  <c r="O39" i="31" s="1"/>
  <c r="P39" i="31" s="1"/>
  <c r="Q39" i="31" s="1"/>
  <c r="R39" i="31" s="1"/>
  <c r="S39" i="31" s="1"/>
  <c r="T39" i="31" s="1"/>
  <c r="U39" i="31" s="1"/>
  <c r="V39" i="31" s="1"/>
  <c r="W39" i="31" s="1"/>
  <c r="X39" i="31" s="1"/>
  <c r="Y39" i="31" s="1"/>
  <c r="Z39" i="31" s="1"/>
  <c r="AA39" i="31" s="1"/>
  <c r="AB39" i="31" s="1"/>
  <c r="AC39" i="31" s="1"/>
  <c r="AD39" i="31" s="1"/>
  <c r="AE39" i="31" s="1"/>
  <c r="AF39" i="31" s="1"/>
  <c r="AG39" i="31" s="1"/>
  <c r="AH39" i="31" s="1"/>
  <c r="AI39" i="31" s="1"/>
  <c r="AJ39" i="31" s="1"/>
  <c r="AK39" i="31" s="1"/>
  <c r="AL39" i="31" s="1"/>
  <c r="AM39" i="31" s="1"/>
  <c r="AN39" i="31" s="1"/>
  <c r="AO39" i="31" s="1"/>
  <c r="AP39" i="31" s="1"/>
  <c r="AQ39" i="31" s="1"/>
  <c r="AR39" i="31" s="1"/>
  <c r="AS39" i="31" s="1"/>
  <c r="AT39" i="31" s="1"/>
  <c r="AU39" i="31" s="1"/>
  <c r="AV39" i="31" s="1"/>
  <c r="AW39" i="31" s="1"/>
  <c r="AX39" i="31" s="1"/>
  <c r="AY39" i="31" s="1"/>
  <c r="AZ39" i="31" s="1"/>
  <c r="BA39" i="31" s="1"/>
  <c r="BB39" i="31" s="1"/>
  <c r="AY39" i="30"/>
  <c r="AY40" i="30" s="1"/>
  <c r="AX38" i="30"/>
  <c r="AX41" i="30"/>
  <c r="AX40" i="30"/>
  <c r="AJ31" i="30"/>
  <c r="AJ32" i="30" s="1"/>
  <c r="AI33" i="30"/>
  <c r="AI30" i="30"/>
  <c r="AL30" i="30"/>
  <c r="AL33" i="30"/>
  <c r="AM31" i="30"/>
  <c r="AM32" i="30" s="1"/>
  <c r="AI23" i="30"/>
  <c r="AI26" i="30"/>
  <c r="AI25" i="30"/>
  <c r="AJ24" i="30"/>
  <c r="AJ25" i="30" s="1"/>
  <c r="AS26" i="30"/>
  <c r="AT24" i="30"/>
  <c r="AS23" i="30"/>
  <c r="AU24" i="30"/>
  <c r="AU25" i="30" s="1"/>
  <c r="AT25" i="30"/>
  <c r="AT26" i="30"/>
  <c r="AT23" i="30"/>
  <c r="CM46" i="28" a="1"/>
  <c r="CM46" i="28" s="1"/>
  <c r="CQ43" i="28" a="1"/>
  <c r="CQ43" i="28" s="1"/>
  <c r="BS49" i="28" a="1"/>
  <c r="BS49" i="28" s="1"/>
  <c r="DC49" i="28" a="1"/>
  <c r="DC49" i="28" s="1"/>
  <c r="DB49" i="28" a="1"/>
  <c r="DB49" i="28" s="1"/>
  <c r="DB37" i="28" a="1"/>
  <c r="DB37" i="28" s="1"/>
  <c r="DG40" i="28" a="1"/>
  <c r="DG40" i="28" s="1"/>
  <c r="DG34" i="28" a="1"/>
  <c r="DG34" i="28" s="1"/>
  <c r="DG16" i="28"/>
  <c r="DG23" i="28"/>
  <c r="DG17" i="28"/>
  <c r="DG24" i="28" a="1"/>
  <c r="DG24" i="28" s="1"/>
  <c r="DG21" i="28" a="1"/>
  <c r="DG21" i="28" s="1"/>
  <c r="CL31" i="28" a="1"/>
  <c r="CL31" i="28" s="1"/>
  <c r="CI31" i="28" a="1"/>
  <c r="CI31" i="28" s="1"/>
  <c r="CN31" i="28" a="1"/>
  <c r="CN31" i="28" s="1"/>
  <c r="DB23" i="28"/>
  <c r="O43" i="28" a="1"/>
  <c r="O43" i="28" s="1"/>
  <c r="O40" i="28" a="1"/>
  <c r="O40" i="28" s="1"/>
  <c r="O34" i="28" a="1"/>
  <c r="O34" i="28" s="1"/>
  <c r="O46" i="28" a="1"/>
  <c r="O46" i="28" s="1"/>
  <c r="O24" i="28" a="1"/>
  <c r="O24" i="28" s="1"/>
  <c r="O17" i="28"/>
  <c r="O31" i="28" a="1"/>
  <c r="O31" i="28" s="1"/>
  <c r="O23" i="28"/>
  <c r="O16" i="28"/>
  <c r="CL40" i="28" a="1"/>
  <c r="CL40" i="28" s="1"/>
  <c r="CO24" i="28" a="1"/>
  <c r="CO24" i="28" s="1"/>
  <c r="CQ21" i="28" a="1"/>
  <c r="CQ21" i="28" s="1"/>
  <c r="Q16" i="28"/>
  <c r="Q23" i="28"/>
  <c r="CL46" i="28" a="1"/>
  <c r="CL46" i="28" s="1"/>
  <c r="CT21" i="28" a="1"/>
  <c r="CT21" i="28" s="1"/>
  <c r="Q21" i="28" a="1"/>
  <c r="Q21" i="28" s="1"/>
  <c r="CG34" i="28" a="1"/>
  <c r="CG34" i="28" s="1"/>
  <c r="CD23" i="28"/>
  <c r="R43" i="28" l="1" a="1"/>
  <c r="R43" i="28" s="1"/>
  <c r="R49" i="28" a="1"/>
  <c r="R49" i="28" s="1"/>
  <c r="R34" i="28" a="1"/>
  <c r="R34" i="28" s="1"/>
  <c r="R40" i="28" a="1"/>
  <c r="R40" i="28" s="1"/>
  <c r="R24" i="28" a="1"/>
  <c r="R24" i="28" s="1"/>
  <c r="R31" i="28" a="1"/>
  <c r="R31" i="28" s="1"/>
  <c r="R23" i="28"/>
  <c r="R17" i="28"/>
  <c r="R21" i="28" a="1"/>
  <c r="R21" i="28" s="1"/>
  <c r="R37" i="28" a="1"/>
  <c r="R37" i="28" s="1"/>
  <c r="R16" i="28"/>
  <c r="R46" i="28" a="1"/>
  <c r="R46" i="28" s="1"/>
  <c r="K4" i="18" l="1"/>
  <c r="L4" i="18"/>
  <c r="M4" i="18"/>
  <c r="N4" i="18"/>
  <c r="O4" i="18"/>
  <c r="P4" i="18"/>
  <c r="Q4" i="18"/>
  <c r="R4" i="18"/>
  <c r="S4" i="18"/>
  <c r="T4" i="18"/>
  <c r="U4" i="18"/>
  <c r="V4" i="18"/>
  <c r="W4" i="18"/>
  <c r="X4" i="18"/>
  <c r="Y4" i="18"/>
  <c r="Z4" i="18"/>
  <c r="AA4" i="18"/>
  <c r="AB4" i="18"/>
  <c r="AC4" i="18"/>
  <c r="AD4" i="18"/>
  <c r="AE4" i="18"/>
  <c r="AF4" i="18"/>
  <c r="AG4" i="18"/>
  <c r="AH4" i="18"/>
  <c r="AI4" i="18"/>
  <c r="AJ4" i="18"/>
  <c r="AK4" i="18"/>
  <c r="AL4" i="18"/>
  <c r="AM4" i="18"/>
  <c r="AN4" i="18"/>
  <c r="AO4" i="18"/>
  <c r="AP4" i="18"/>
  <c r="AQ4" i="18"/>
  <c r="AR4" i="18"/>
  <c r="AS4" i="18"/>
  <c r="AT4" i="18"/>
  <c r="AU4" i="18"/>
  <c r="AV4" i="18"/>
  <c r="AW4" i="18"/>
  <c r="AX4" i="18"/>
  <c r="AY4" i="18"/>
  <c r="J4" i="18"/>
  <c r="M4" i="16"/>
  <c r="N4" i="16"/>
  <c r="O4" i="16"/>
  <c r="P4" i="16"/>
  <c r="Q4" i="16"/>
  <c r="R4" i="16"/>
  <c r="S4" i="16"/>
  <c r="T4" i="16"/>
  <c r="U4" i="16"/>
  <c r="V4" i="16"/>
  <c r="W4" i="16"/>
  <c r="L4" i="16"/>
  <c r="M4" i="15"/>
  <c r="N4" i="15"/>
  <c r="O4" i="15"/>
  <c r="P4" i="15"/>
  <c r="Q4" i="15"/>
  <c r="R4" i="15"/>
  <c r="S4" i="15"/>
  <c r="T4" i="15"/>
  <c r="U4" i="15"/>
  <c r="V4" i="15"/>
  <c r="W4" i="15"/>
  <c r="X4" i="15"/>
  <c r="Y4" i="15"/>
  <c r="Z4" i="15"/>
  <c r="AA4" i="15"/>
  <c r="AB4" i="15"/>
  <c r="AC4" i="15"/>
  <c r="AD4" i="15"/>
  <c r="AE4" i="15"/>
  <c r="AF4" i="15"/>
  <c r="AG4" i="15"/>
  <c r="AH4" i="15"/>
  <c r="AI4" i="15"/>
  <c r="AJ4" i="15"/>
  <c r="AK4" i="15"/>
  <c r="AL4" i="15"/>
  <c r="AM4" i="15"/>
  <c r="AN4" i="15"/>
  <c r="AO4" i="15"/>
  <c r="AP4" i="15"/>
  <c r="AQ4" i="15"/>
  <c r="AR4" i="15"/>
  <c r="AS4" i="15"/>
  <c r="AT4" i="15"/>
  <c r="AU4" i="15"/>
  <c r="AV4" i="15"/>
  <c r="AW4" i="15"/>
  <c r="AX4" i="15"/>
  <c r="AY4" i="15"/>
  <c r="AZ4" i="15"/>
  <c r="BA4" i="15"/>
  <c r="BB4" i="15"/>
  <c r="BC4" i="15"/>
  <c r="L4" i="15"/>
  <c r="AI4" i="5"/>
  <c r="AJ4" i="5"/>
  <c r="AK4" i="5"/>
  <c r="AL4" i="5"/>
  <c r="AM4" i="5"/>
  <c r="AN4" i="5"/>
  <c r="AO4" i="5"/>
  <c r="AP4" i="5"/>
  <c r="AQ4" i="5"/>
  <c r="AR4" i="5"/>
  <c r="AS4" i="5"/>
  <c r="AT4" i="5"/>
  <c r="AU4" i="5"/>
  <c r="AV4" i="5"/>
  <c r="AW4" i="5"/>
  <c r="AX4" i="5"/>
  <c r="AY4" i="5"/>
  <c r="AZ4" i="5"/>
  <c r="BA4" i="5"/>
  <c r="BB4" i="5"/>
  <c r="BC4" i="5"/>
  <c r="BD4" i="5"/>
  <c r="BE4" i="5"/>
  <c r="BF4" i="5"/>
  <c r="BG4" i="5"/>
  <c r="BH4" i="5"/>
  <c r="BI4" i="5"/>
  <c r="BJ4" i="5"/>
  <c r="BK4" i="5"/>
  <c r="BL4" i="5"/>
  <c r="BM4" i="5"/>
  <c r="BN4" i="5"/>
  <c r="X4" i="5"/>
  <c r="Y4" i="5"/>
  <c r="Z4" i="5"/>
  <c r="AA4" i="5"/>
  <c r="AB4" i="5"/>
  <c r="AC4" i="5"/>
  <c r="AD4" i="5"/>
  <c r="AE4" i="5"/>
  <c r="AF4" i="5"/>
  <c r="AG4" i="5"/>
  <c r="AH4" i="5"/>
  <c r="W4" i="5"/>
  <c r="BN25" i="5"/>
  <c r="BN22" i="5"/>
  <c r="BN14" i="5"/>
  <c r="BN13" i="5"/>
  <c r="BN8" i="5"/>
  <c r="BM22" i="5" l="1"/>
  <c r="BM14" i="5"/>
  <c r="BM13" i="5"/>
  <c r="BM8" i="5"/>
  <c r="BL22" i="5" l="1"/>
  <c r="BL14" i="5"/>
  <c r="BL13" i="5"/>
  <c r="BL8" i="5"/>
  <c r="BK22" i="5" l="1"/>
  <c r="BK14" i="5"/>
  <c r="BK13" i="5"/>
  <c r="BK8" i="5"/>
  <c r="BK7" i="5"/>
  <c r="AZ4" i="18" l="1"/>
  <c r="BA4" i="18"/>
  <c r="AU33" i="18"/>
  <c r="AV33" i="18"/>
  <c r="AW33" i="18"/>
  <c r="AX33" i="18"/>
  <c r="AY33" i="18"/>
  <c r="AZ33" i="18"/>
  <c r="BA33" i="18"/>
  <c r="AU34" i="18"/>
  <c r="AV34" i="18"/>
  <c r="AW34" i="18"/>
  <c r="AX34" i="18"/>
  <c r="AY34" i="18"/>
  <c r="AZ34" i="18"/>
  <c r="BA34" i="18"/>
  <c r="CQ3" i="15"/>
  <c r="CR3" i="15"/>
  <c r="CS3" i="15"/>
  <c r="CT3" i="15"/>
  <c r="CU3" i="15"/>
  <c r="CV3" i="15"/>
  <c r="CQ5" i="15"/>
  <c r="CR5" i="15"/>
  <c r="CS5" i="15"/>
  <c r="CT5" i="15"/>
  <c r="CU5" i="15"/>
  <c r="CV5" i="15"/>
  <c r="CQ6" i="15"/>
  <c r="CR6" i="15"/>
  <c r="CS6" i="15"/>
  <c r="CT6" i="15"/>
  <c r="CU6" i="15"/>
  <c r="CV6" i="15"/>
  <c r="CQ7" i="15"/>
  <c r="CR7" i="15"/>
  <c r="CS7" i="15"/>
  <c r="CT7" i="15"/>
  <c r="CU7" i="15"/>
  <c r="CV7" i="15"/>
  <c r="CQ8" i="15"/>
  <c r="CR8" i="15"/>
  <c r="CS8" i="15"/>
  <c r="CT8" i="15"/>
  <c r="CU8" i="15"/>
  <c r="CV8" i="15"/>
  <c r="CQ9" i="15"/>
  <c r="CR9" i="15"/>
  <c r="CS9" i="15"/>
  <c r="CT9" i="15"/>
  <c r="CU9" i="15"/>
  <c r="CV9" i="15"/>
  <c r="CQ10" i="15"/>
  <c r="CR10" i="15"/>
  <c r="CS10" i="15"/>
  <c r="CT10" i="15"/>
  <c r="CU10" i="15"/>
  <c r="CV10" i="15"/>
  <c r="CQ11" i="15"/>
  <c r="CR11" i="15"/>
  <c r="CS11" i="15"/>
  <c r="CT11" i="15"/>
  <c r="CU11" i="15"/>
  <c r="CV11" i="15"/>
  <c r="CQ12" i="15"/>
  <c r="CR12" i="15"/>
  <c r="CS12" i="15"/>
  <c r="CT12" i="15"/>
  <c r="CU12" i="15"/>
  <c r="CV12" i="15"/>
  <c r="CQ13" i="15"/>
  <c r="CR13" i="15"/>
  <c r="CS13" i="15"/>
  <c r="CT13" i="15"/>
  <c r="CU13" i="15"/>
  <c r="CV13" i="15"/>
  <c r="CQ14" i="15"/>
  <c r="CR14" i="15"/>
  <c r="CS14" i="15"/>
  <c r="CT14" i="15"/>
  <c r="CU14" i="15"/>
  <c r="CV14" i="15"/>
  <c r="CQ15" i="15"/>
  <c r="CR15" i="15"/>
  <c r="CS15" i="15"/>
  <c r="CT15" i="15"/>
  <c r="CU15" i="15"/>
  <c r="CV15" i="15"/>
  <c r="CQ16" i="15"/>
  <c r="CR16" i="15"/>
  <c r="CS16" i="15"/>
  <c r="CT16" i="15"/>
  <c r="CU16" i="15"/>
  <c r="CV16" i="15"/>
  <c r="CQ17" i="15"/>
  <c r="CR17" i="15"/>
  <c r="CS17" i="15"/>
  <c r="CT17" i="15"/>
  <c r="CU17" i="15"/>
  <c r="CV17" i="15"/>
  <c r="CQ18" i="15"/>
  <c r="CR18" i="15"/>
  <c r="CS18" i="15"/>
  <c r="CT18" i="15"/>
  <c r="CU18" i="15"/>
  <c r="CV18" i="15"/>
  <c r="CQ19" i="15"/>
  <c r="CR19" i="15"/>
  <c r="CS19" i="15"/>
  <c r="CT19" i="15"/>
  <c r="CU19" i="15"/>
  <c r="CV19" i="15"/>
  <c r="CQ20" i="15"/>
  <c r="CR20" i="15"/>
  <c r="CS20" i="15"/>
  <c r="CT20" i="15"/>
  <c r="CU20" i="15"/>
  <c r="CV20" i="15"/>
  <c r="CQ21" i="15"/>
  <c r="CR21" i="15"/>
  <c r="CS21" i="15"/>
  <c r="CT21" i="15"/>
  <c r="CU21" i="15"/>
  <c r="CV21" i="15"/>
  <c r="CQ22" i="15"/>
  <c r="CR22" i="15"/>
  <c r="CS22" i="15"/>
  <c r="CT22" i="15"/>
  <c r="CU22" i="15"/>
  <c r="CV22" i="15"/>
  <c r="CQ23" i="15"/>
  <c r="CR23" i="15"/>
  <c r="CS23" i="15"/>
  <c r="CT23" i="15"/>
  <c r="CU23" i="15"/>
  <c r="CV23" i="15"/>
  <c r="CQ24" i="15"/>
  <c r="CR24" i="15"/>
  <c r="CS24" i="15"/>
  <c r="CT24" i="15"/>
  <c r="CU24" i="15"/>
  <c r="CV24" i="15"/>
  <c r="CQ25" i="15"/>
  <c r="CR25" i="15"/>
  <c r="CS25" i="15"/>
  <c r="CT25" i="15"/>
  <c r="CU25" i="15"/>
  <c r="CV25" i="15"/>
  <c r="CQ26" i="15"/>
  <c r="CR26" i="15"/>
  <c r="CS26" i="15"/>
  <c r="CT26" i="15"/>
  <c r="CU26" i="15"/>
  <c r="CV26" i="15"/>
  <c r="CQ27" i="15"/>
  <c r="CR27" i="15"/>
  <c r="CS27" i="15"/>
  <c r="CT27" i="15"/>
  <c r="CU27" i="15"/>
  <c r="CV27" i="15"/>
  <c r="CQ28" i="15"/>
  <c r="CR28" i="15"/>
  <c r="CS28" i="15"/>
  <c r="CT28" i="15"/>
  <c r="CU28" i="15"/>
  <c r="CV28" i="15"/>
  <c r="CQ29" i="15"/>
  <c r="CR29" i="15"/>
  <c r="CS29" i="15"/>
  <c r="CT29" i="15"/>
  <c r="CU29" i="15"/>
  <c r="CV29" i="15"/>
  <c r="CQ30" i="15"/>
  <c r="CR30" i="15"/>
  <c r="CS30" i="15"/>
  <c r="CT30" i="15"/>
  <c r="CU30" i="15"/>
  <c r="CV30" i="15"/>
  <c r="CQ4" i="15"/>
  <c r="CR4" i="15"/>
  <c r="CS4" i="15"/>
  <c r="CT4" i="15"/>
  <c r="CU4" i="15"/>
  <c r="CV4" i="15"/>
  <c r="AX32" i="15"/>
  <c r="AY32" i="15"/>
  <c r="AZ32" i="15"/>
  <c r="BA32" i="15"/>
  <c r="BB32" i="15"/>
  <c r="BC32" i="15"/>
  <c r="AX33" i="15"/>
  <c r="AY33" i="15"/>
  <c r="AZ33" i="15"/>
  <c r="BA33" i="15"/>
  <c r="BB33" i="15"/>
  <c r="BC33" i="15"/>
  <c r="BJ22" i="5"/>
  <c r="BJ14" i="5"/>
  <c r="BJ13" i="5"/>
  <c r="BJ8" i="5"/>
  <c r="BJ7" i="5"/>
  <c r="BI24" i="5"/>
  <c r="BI22" i="5"/>
  <c r="BI14" i="5"/>
  <c r="BI13" i="5"/>
  <c r="BI8" i="5"/>
  <c r="BI7" i="5"/>
  <c r="DE3" i="5"/>
  <c r="DF3" i="5"/>
  <c r="DG3" i="5"/>
  <c r="DH3" i="5"/>
  <c r="DI3" i="5"/>
  <c r="DJ3" i="5"/>
  <c r="DK3" i="5"/>
  <c r="DE4" i="5"/>
  <c r="DF4" i="5"/>
  <c r="DG4" i="5"/>
  <c r="DH4" i="5"/>
  <c r="DI4" i="5"/>
  <c r="BO4" i="5"/>
  <c r="DJ4" i="5" s="1"/>
  <c r="BP4" i="5"/>
  <c r="DK4" i="5" s="1"/>
  <c r="BK32" i="5"/>
  <c r="BL32" i="5"/>
  <c r="BM32" i="5"/>
  <c r="BN32" i="5"/>
  <c r="BO32" i="5"/>
  <c r="BP32" i="5"/>
  <c r="BK33" i="5"/>
  <c r="BL33" i="5"/>
  <c r="BM33" i="5"/>
  <c r="BN33" i="5"/>
  <c r="BO33" i="5"/>
  <c r="BP33" i="5"/>
  <c r="BJ38" i="5"/>
  <c r="BK38" i="5"/>
  <c r="BL38" i="5"/>
  <c r="BM38" i="5"/>
  <c r="BN38" i="5"/>
  <c r="BO38" i="5"/>
  <c r="BP38" i="5"/>
  <c r="BK39" i="5" a="1"/>
  <c r="BK39" i="5" s="1"/>
  <c r="BL39" i="5" a="1"/>
  <c r="BL39" i="5" s="1"/>
  <c r="BM39" i="5" a="1"/>
  <c r="BM39" i="5" s="1"/>
  <c r="BN39" i="5" a="1"/>
  <c r="BN39" i="5" s="1"/>
  <c r="BO39" i="5" a="1"/>
  <c r="BO39" i="5" s="1"/>
  <c r="BP39" i="5" a="1"/>
  <c r="BP39" i="5" s="1"/>
  <c r="CS33" i="15" l="1"/>
  <c r="CV33" i="15"/>
  <c r="CV32" i="15"/>
  <c r="CU33" i="15"/>
  <c r="CU32" i="15"/>
  <c r="CT33" i="15"/>
  <c r="CT32" i="15"/>
  <c r="CS32" i="15"/>
  <c r="CR33" i="15"/>
  <c r="CR32" i="15"/>
  <c r="CQ32" i="15"/>
  <c r="CQ33" i="15"/>
  <c r="BJ33" i="5"/>
  <c r="BJ32" i="5"/>
  <c r="BJ39" i="5" a="1"/>
  <c r="BJ39" i="5" s="1"/>
  <c r="BH24" i="5"/>
  <c r="BH22" i="5"/>
  <c r="BH14" i="5"/>
  <c r="BH13" i="5"/>
  <c r="BH8" i="5"/>
  <c r="BH7" i="5"/>
  <c r="BG24" i="5"/>
  <c r="BG22" i="5"/>
  <c r="BG13" i="5"/>
  <c r="BG15" i="5"/>
  <c r="BG14" i="5"/>
  <c r="BG8" i="5"/>
  <c r="BG7" i="5"/>
  <c r="BF27" i="5" l="1"/>
  <c r="BF25" i="5"/>
  <c r="BF24" i="5"/>
  <c r="BF22" i="5"/>
  <c r="BF15" i="5"/>
  <c r="BF14" i="5"/>
  <c r="BF13" i="5"/>
  <c r="BF8" i="5"/>
  <c r="BF7" i="5"/>
  <c r="BE27" i="5" l="1"/>
  <c r="BE25" i="5"/>
  <c r="BE24" i="5"/>
  <c r="BE22" i="5"/>
  <c r="BE15" i="5"/>
  <c r="BE14" i="5"/>
  <c r="BE13" i="5"/>
  <c r="BE8" i="5"/>
  <c r="BE7" i="5"/>
  <c r="BD27" i="5" l="1"/>
  <c r="BD25" i="5"/>
  <c r="BD24" i="5"/>
  <c r="BD22" i="5"/>
  <c r="BD15" i="5"/>
  <c r="BD14" i="5"/>
  <c r="BD13" i="5"/>
  <c r="BD8" i="5"/>
  <c r="BD7" i="5"/>
  <c r="BC27" i="5" l="1"/>
  <c r="BC25" i="5"/>
  <c r="BC24" i="5"/>
  <c r="BC22" i="5"/>
  <c r="BC15" i="5"/>
  <c r="BC14" i="5"/>
  <c r="BC13" i="5"/>
  <c r="BC9" i="5"/>
  <c r="BC8" i="5"/>
  <c r="BC7" i="5"/>
  <c r="BB27" i="5" l="1"/>
  <c r="BB25" i="5"/>
  <c r="BB24" i="5"/>
  <c r="BB22" i="5"/>
  <c r="BB17" i="5"/>
  <c r="BB15" i="5"/>
  <c r="BB14" i="5"/>
  <c r="BB13" i="5"/>
  <c r="BB9" i="5"/>
  <c r="BB8" i="5"/>
  <c r="BB7" i="5"/>
  <c r="BA27" i="5" l="1"/>
  <c r="BA25" i="5"/>
  <c r="BA24" i="5"/>
  <c r="BA22" i="5"/>
  <c r="BA17" i="5"/>
  <c r="BA15" i="5"/>
  <c r="BA14" i="5"/>
  <c r="BA13" i="5"/>
  <c r="BA9" i="5"/>
  <c r="BA8" i="5"/>
  <c r="BA7" i="5"/>
  <c r="AL33" i="18"/>
  <c r="AL34" i="18"/>
  <c r="AZ27" i="5" l="1"/>
  <c r="AZ25" i="5"/>
  <c r="AZ24" i="5"/>
  <c r="AZ22" i="5"/>
  <c r="AZ17" i="5"/>
  <c r="AZ15" i="5"/>
  <c r="AZ14" i="5"/>
  <c r="AZ13" i="5"/>
  <c r="AZ9" i="5"/>
  <c r="AZ8" i="5"/>
  <c r="AZ7" i="5"/>
  <c r="AY27" i="5" l="1"/>
  <c r="AY25" i="5"/>
  <c r="AY24" i="5"/>
  <c r="AY23" i="5"/>
  <c r="AY22" i="5"/>
  <c r="AY17" i="5"/>
  <c r="AY16" i="5"/>
  <c r="AY15" i="5"/>
  <c r="AY14" i="5"/>
  <c r="AY13" i="5"/>
  <c r="AY9" i="5"/>
  <c r="AY8" i="5"/>
  <c r="AY7" i="5"/>
  <c r="AX27" i="5" l="1"/>
  <c r="AX25" i="5"/>
  <c r="AX24" i="5"/>
  <c r="AX23" i="5"/>
  <c r="AX22" i="5"/>
  <c r="AX18" i="5"/>
  <c r="AX17" i="5"/>
  <c r="AX16" i="5"/>
  <c r="AX15" i="5"/>
  <c r="AX14" i="5"/>
  <c r="AX13" i="5"/>
  <c r="AX9" i="5"/>
  <c r="AX8" i="5"/>
  <c r="AX7" i="5"/>
  <c r="AW27" i="5"/>
  <c r="AW25" i="5"/>
  <c r="AW24" i="5"/>
  <c r="AW23" i="5"/>
  <c r="AW22" i="5"/>
  <c r="AW18" i="5"/>
  <c r="AW17" i="5"/>
  <c r="AW16" i="5"/>
  <c r="AW15" i="5"/>
  <c r="AW14" i="5"/>
  <c r="AW13" i="5"/>
  <c r="AW9" i="5"/>
  <c r="AW8" i="5"/>
  <c r="AW7" i="5"/>
  <c r="AV27" i="5" l="1"/>
  <c r="AV25" i="5"/>
  <c r="AV24" i="5"/>
  <c r="AV23" i="5"/>
  <c r="AV22" i="5"/>
  <c r="AV18" i="5"/>
  <c r="AV17" i="5"/>
  <c r="AV16" i="5"/>
  <c r="AV15" i="5"/>
  <c r="AV14" i="5"/>
  <c r="AV13" i="5"/>
  <c r="AV9" i="5"/>
  <c r="AV8" i="5"/>
  <c r="AV7" i="5"/>
  <c r="AU27" i="5" l="1"/>
  <c r="AU25" i="5"/>
  <c r="AU24" i="5"/>
  <c r="AU23" i="5"/>
  <c r="AU22" i="5"/>
  <c r="AU18" i="5"/>
  <c r="AU17" i="5"/>
  <c r="AU16" i="5"/>
  <c r="AU15" i="5"/>
  <c r="AU14" i="5"/>
  <c r="AU13" i="5"/>
  <c r="AU9" i="5"/>
  <c r="AU8" i="5"/>
  <c r="AU7" i="5"/>
  <c r="AT27" i="5" l="1"/>
  <c r="AT24" i="5"/>
  <c r="AT23" i="5"/>
  <c r="AT22" i="5"/>
  <c r="AT18" i="5"/>
  <c r="AT17" i="5"/>
  <c r="AT16" i="5"/>
  <c r="AT15" i="5"/>
  <c r="AT14" i="5"/>
  <c r="AT13" i="5"/>
  <c r="AT9" i="5"/>
  <c r="AT8" i="5"/>
  <c r="AT7" i="5"/>
  <c r="AS24" i="5" l="1"/>
  <c r="AS23" i="5"/>
  <c r="AS22" i="5"/>
  <c r="AS18" i="5"/>
  <c r="AS17" i="5"/>
  <c r="AS16" i="5"/>
  <c r="AS15" i="5"/>
  <c r="AS14" i="5"/>
  <c r="AS13" i="5"/>
  <c r="AS10" i="5"/>
  <c r="AS9" i="5"/>
  <c r="AS8" i="5"/>
  <c r="AS7" i="5"/>
  <c r="AR27" i="5" l="1"/>
  <c r="AR25" i="5"/>
  <c r="AR24" i="5"/>
  <c r="AR23" i="5"/>
  <c r="AR22" i="5"/>
  <c r="AR18" i="5"/>
  <c r="AR17" i="5"/>
  <c r="AR16" i="5"/>
  <c r="AR15" i="5"/>
  <c r="AR14" i="5"/>
  <c r="AR13" i="5"/>
  <c r="AR12" i="5"/>
  <c r="AR10" i="5"/>
  <c r="AR9" i="5"/>
  <c r="AR8" i="5"/>
  <c r="AR7" i="5"/>
  <c r="AQ24" i="5" l="1"/>
  <c r="AQ23" i="5"/>
  <c r="AQ22" i="5"/>
  <c r="AQ18" i="5"/>
  <c r="AQ17" i="5"/>
  <c r="AQ16" i="5"/>
  <c r="AQ15" i="5"/>
  <c r="AQ14" i="5"/>
  <c r="AQ13" i="5"/>
  <c r="AQ12" i="5"/>
  <c r="AQ11" i="5"/>
  <c r="AQ10" i="5"/>
  <c r="AQ9" i="5"/>
  <c r="AQ8" i="5"/>
  <c r="AQ7" i="5"/>
  <c r="AP25" i="5" l="1"/>
  <c r="AP24" i="5"/>
  <c r="AP23" i="5"/>
  <c r="AP22" i="5"/>
  <c r="AP17" i="5"/>
  <c r="AP16" i="5"/>
  <c r="AP15" i="5"/>
  <c r="AP14" i="5"/>
  <c r="AP13" i="5"/>
  <c r="AP12" i="5"/>
  <c r="AP11" i="5"/>
  <c r="AP10" i="5"/>
  <c r="AP9" i="5"/>
  <c r="AP8" i="5"/>
  <c r="AP7" i="5"/>
  <c r="AP5" i="5"/>
  <c r="AO24" i="5" l="1"/>
  <c r="AO23" i="5"/>
  <c r="AO22" i="5"/>
  <c r="AO18" i="5"/>
  <c r="AO17" i="5"/>
  <c r="AO16" i="5"/>
  <c r="AO15" i="5"/>
  <c r="AO14" i="5"/>
  <c r="AO13" i="5"/>
  <c r="AO12" i="5"/>
  <c r="AO11" i="5"/>
  <c r="AO10" i="5"/>
  <c r="AO9" i="5"/>
  <c r="AO8" i="5"/>
  <c r="AO7" i="5"/>
  <c r="AO6" i="5"/>
  <c r="AO5" i="5"/>
  <c r="AN24" i="5" l="1"/>
  <c r="AN23" i="5"/>
  <c r="AN22" i="5"/>
  <c r="AN21" i="5"/>
  <c r="AN20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M30" i="5" l="1"/>
  <c r="AM27" i="5"/>
  <c r="AM25" i="5"/>
  <c r="AM24" i="5"/>
  <c r="AM23" i="5"/>
  <c r="AM22" i="5"/>
  <c r="AM21" i="5"/>
  <c r="AM20" i="5"/>
  <c r="AM17" i="5"/>
  <c r="AM16" i="5"/>
  <c r="AM15" i="5"/>
  <c r="AM14" i="5"/>
  <c r="AM13" i="5"/>
  <c r="AM12" i="5"/>
  <c r="AM11" i="5"/>
  <c r="AM10" i="5"/>
  <c r="AM9" i="5"/>
  <c r="AM8" i="5"/>
  <c r="AM7" i="5"/>
  <c r="AM6" i="5"/>
  <c r="AM5" i="5"/>
  <c r="AL30" i="5" l="1"/>
  <c r="AL27" i="5"/>
  <c r="AL25" i="5"/>
  <c r="AL23" i="5"/>
  <c r="AL22" i="5"/>
  <c r="AL21" i="5"/>
  <c r="AL20" i="5"/>
  <c r="AL19" i="5"/>
  <c r="AL17" i="5"/>
  <c r="AL16" i="5"/>
  <c r="AL15" i="5"/>
  <c r="AL14" i="5"/>
  <c r="AL13" i="5"/>
  <c r="AL12" i="5"/>
  <c r="AL11" i="5"/>
  <c r="AL10" i="5"/>
  <c r="AL9" i="5"/>
  <c r="AL8" i="5"/>
  <c r="AL7" i="5"/>
  <c r="AL6" i="5"/>
  <c r="AL5" i="5"/>
  <c r="AK30" i="5" l="1"/>
  <c r="AK22" i="5"/>
  <c r="AK21" i="5"/>
  <c r="AK20" i="5"/>
  <c r="AK19" i="5"/>
  <c r="AK18" i="5"/>
  <c r="AK17" i="5"/>
  <c r="AK16" i="5"/>
  <c r="AK15" i="5"/>
  <c r="AK14" i="5"/>
  <c r="AK13" i="5"/>
  <c r="AK12" i="5"/>
  <c r="AK11" i="5"/>
  <c r="AK10" i="5"/>
  <c r="AK9" i="5"/>
  <c r="AK8" i="5"/>
  <c r="AK7" i="5"/>
  <c r="AK6" i="5"/>
  <c r="AK5" i="5"/>
  <c r="I38" i="5" l="1"/>
  <c r="AJ30" i="5"/>
  <c r="AJ29" i="5"/>
  <c r="AJ27" i="5"/>
  <c r="AJ25" i="5"/>
  <c r="AJ24" i="5"/>
  <c r="AJ23" i="5"/>
  <c r="AJ22" i="5"/>
  <c r="AJ21" i="5"/>
  <c r="AJ20" i="5"/>
  <c r="AJ19" i="5"/>
  <c r="AJ17" i="5"/>
  <c r="AJ16" i="5"/>
  <c r="AJ15" i="5"/>
  <c r="AJ14" i="5"/>
  <c r="AJ13" i="5"/>
  <c r="AJ12" i="5"/>
  <c r="AJ11" i="5"/>
  <c r="AJ10" i="5"/>
  <c r="AJ9" i="5"/>
  <c r="AJ8" i="5"/>
  <c r="AJ7" i="5"/>
  <c r="AJ6" i="5"/>
  <c r="AJ5" i="5"/>
  <c r="AI30" i="5" l="1"/>
  <c r="AI29" i="5"/>
  <c r="AI27" i="5"/>
  <c r="AI25" i="5"/>
  <c r="AI24" i="5"/>
  <c r="AI23" i="5"/>
  <c r="AI22" i="5"/>
  <c r="AI21" i="5"/>
  <c r="AI20" i="5"/>
  <c r="AI19" i="5"/>
  <c r="AI18" i="5"/>
  <c r="AI17" i="5"/>
  <c r="AI16" i="5"/>
  <c r="AI15" i="5"/>
  <c r="AI14" i="5"/>
  <c r="AI13" i="5"/>
  <c r="AI12" i="5"/>
  <c r="AI11" i="5"/>
  <c r="AI10" i="5"/>
  <c r="AI9" i="5"/>
  <c r="AI8" i="5"/>
  <c r="AI7" i="5"/>
  <c r="AI6" i="5"/>
  <c r="AI5" i="5"/>
  <c r="AH30" i="5" l="1"/>
  <c r="AH29" i="5"/>
  <c r="AH28" i="5"/>
  <c r="AH27" i="5"/>
  <c r="AH26" i="5"/>
  <c r="AH25" i="5"/>
  <c r="AH24" i="5"/>
  <c r="AH23" i="5"/>
  <c r="AH22" i="5"/>
  <c r="AH21" i="5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AH7" i="5"/>
  <c r="AH6" i="5"/>
  <c r="AH5" i="5"/>
  <c r="AG30" i="5" l="1"/>
  <c r="AG29" i="5"/>
  <c r="AG28" i="5"/>
  <c r="AG27" i="5"/>
  <c r="AG26" i="5"/>
  <c r="AG25" i="5"/>
  <c r="AG24" i="5"/>
  <c r="AG23" i="5"/>
  <c r="AG22" i="5"/>
  <c r="AG21" i="5"/>
  <c r="AG20" i="5"/>
  <c r="AG19" i="5"/>
  <c r="AG18" i="5"/>
  <c r="AG17" i="5"/>
  <c r="AG16" i="5"/>
  <c r="AG15" i="5"/>
  <c r="AG14" i="5"/>
  <c r="AG13" i="5"/>
  <c r="AG12" i="5"/>
  <c r="AG11" i="5"/>
  <c r="AG10" i="5"/>
  <c r="AG9" i="5"/>
  <c r="AG8" i="5"/>
  <c r="AG7" i="5"/>
  <c r="AG6" i="5"/>
  <c r="AG5" i="5"/>
  <c r="AF30" i="5" l="1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F5" i="5"/>
  <c r="AE29" i="5" l="1"/>
  <c r="AE30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E10" i="5"/>
  <c r="AE9" i="5"/>
  <c r="AE8" i="5"/>
  <c r="AE7" i="5"/>
  <c r="AE6" i="5"/>
  <c r="AE5" i="5"/>
  <c r="AD30" i="5" l="1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5" i="5"/>
  <c r="AC30" i="5" l="1"/>
  <c r="AC29" i="5"/>
  <c r="AC28" i="5"/>
  <c r="AC27" i="5"/>
  <c r="AC26" i="5"/>
  <c r="AC25" i="5"/>
  <c r="AC24" i="5"/>
  <c r="AC23" i="5"/>
  <c r="AC22" i="5"/>
  <c r="AC21" i="5"/>
  <c r="AC20" i="5"/>
  <c r="AC19" i="5"/>
  <c r="AC18" i="5"/>
  <c r="AC17" i="5"/>
  <c r="AC16" i="5"/>
  <c r="AC15" i="5"/>
  <c r="AC14" i="5"/>
  <c r="AC13" i="5"/>
  <c r="AC12" i="5"/>
  <c r="AC11" i="5"/>
  <c r="AC10" i="5"/>
  <c r="AC9" i="5"/>
  <c r="AC8" i="5"/>
  <c r="AC7" i="5"/>
  <c r="AC6" i="5"/>
  <c r="AC5" i="5"/>
  <c r="AB30" i="5" l="1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AB10" i="5"/>
  <c r="AB9" i="5"/>
  <c r="AB8" i="5"/>
  <c r="AB7" i="5"/>
  <c r="AB6" i="5"/>
  <c r="AB5" i="5"/>
  <c r="AA30" i="5" l="1"/>
  <c r="AA29" i="5"/>
  <c r="AA28" i="5"/>
  <c r="AA27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T38" i="5"/>
  <c r="CP30" i="15"/>
  <c r="CO30" i="15"/>
  <c r="CN30" i="15"/>
  <c r="CM30" i="15"/>
  <c r="CL30" i="15"/>
  <c r="CK30" i="15"/>
  <c r="CJ30" i="15"/>
  <c r="CI30" i="15"/>
  <c r="CH30" i="15"/>
  <c r="CG30" i="15"/>
  <c r="CF30" i="15"/>
  <c r="CE30" i="15"/>
  <c r="CD30" i="15"/>
  <c r="CC30" i="15"/>
  <c r="CB30" i="15"/>
  <c r="CA30" i="15"/>
  <c r="BZ30" i="15"/>
  <c r="BY30" i="15"/>
  <c r="BX30" i="15"/>
  <c r="BW30" i="15"/>
  <c r="BV30" i="15"/>
  <c r="BU30" i="15"/>
  <c r="BT30" i="15"/>
  <c r="BS30" i="15"/>
  <c r="BR30" i="15"/>
  <c r="BQ30" i="15"/>
  <c r="BP30" i="15"/>
  <c r="BO30" i="15"/>
  <c r="BN30" i="15"/>
  <c r="BM30" i="15"/>
  <c r="BL30" i="15"/>
  <c r="BK30" i="15"/>
  <c r="BJ30" i="15"/>
  <c r="BI30" i="15"/>
  <c r="BH30" i="15"/>
  <c r="BG30" i="15"/>
  <c r="BF30" i="15"/>
  <c r="BE30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CP28" i="15"/>
  <c r="CO28" i="15"/>
  <c r="CN28" i="15"/>
  <c r="CM28" i="15"/>
  <c r="CL28" i="15"/>
  <c r="CK28" i="15"/>
  <c r="CJ28" i="15"/>
  <c r="CI28" i="15"/>
  <c r="CH28" i="15"/>
  <c r="CG28" i="15"/>
  <c r="CF28" i="15"/>
  <c r="CE28" i="15"/>
  <c r="CD28" i="15"/>
  <c r="CC28" i="15"/>
  <c r="CB28" i="15"/>
  <c r="CA28" i="15"/>
  <c r="BZ28" i="15"/>
  <c r="BY28" i="15"/>
  <c r="BX28" i="15"/>
  <c r="BW28" i="15"/>
  <c r="BV28" i="15"/>
  <c r="BU28" i="15"/>
  <c r="BT28" i="15"/>
  <c r="BS28" i="15"/>
  <c r="BR28" i="15"/>
  <c r="BQ28" i="15"/>
  <c r="BP28" i="15"/>
  <c r="BO28" i="15"/>
  <c r="BN28" i="15"/>
  <c r="BM28" i="15"/>
  <c r="BL28" i="15"/>
  <c r="BK28" i="15"/>
  <c r="BJ28" i="15"/>
  <c r="BI28" i="15"/>
  <c r="BH28" i="15"/>
  <c r="BG28" i="15"/>
  <c r="BF28" i="15"/>
  <c r="BE28" i="15"/>
  <c r="CP27" i="15"/>
  <c r="CO27" i="15"/>
  <c r="CN27" i="15"/>
  <c r="CM27" i="15"/>
  <c r="CL27" i="15"/>
  <c r="CK27" i="15"/>
  <c r="CJ27" i="15"/>
  <c r="CI27" i="15"/>
  <c r="CH27" i="15"/>
  <c r="CG27" i="15"/>
  <c r="CF27" i="15"/>
  <c r="CE27" i="15"/>
  <c r="CD27" i="15"/>
  <c r="CC27" i="15"/>
  <c r="CB27" i="15"/>
  <c r="CA27" i="15"/>
  <c r="BZ27" i="15"/>
  <c r="BY27" i="15"/>
  <c r="BX27" i="15"/>
  <c r="BW27" i="15"/>
  <c r="BV27" i="15"/>
  <c r="BU27" i="15"/>
  <c r="BT27" i="15"/>
  <c r="BS27" i="15"/>
  <c r="BR27" i="15"/>
  <c r="BQ27" i="15"/>
  <c r="BP27" i="15"/>
  <c r="BO27" i="15"/>
  <c r="BN27" i="15"/>
  <c r="BM27" i="15"/>
  <c r="BL27" i="15"/>
  <c r="BK27" i="15"/>
  <c r="BJ27" i="15"/>
  <c r="BI27" i="15"/>
  <c r="BH27" i="15"/>
  <c r="BG27" i="15"/>
  <c r="BF27" i="15"/>
  <c r="BE27" i="15"/>
  <c r="CP26" i="15"/>
  <c r="CO26" i="15"/>
  <c r="CN26" i="15"/>
  <c r="CM26" i="15"/>
  <c r="CL26" i="15"/>
  <c r="CK26" i="15"/>
  <c r="CJ26" i="15"/>
  <c r="CI26" i="15"/>
  <c r="CH26" i="15"/>
  <c r="CG26" i="15"/>
  <c r="CF26" i="15"/>
  <c r="CE26" i="15"/>
  <c r="CD26" i="15"/>
  <c r="CC26" i="15"/>
  <c r="CB26" i="15"/>
  <c r="CA26" i="15"/>
  <c r="BZ26" i="15"/>
  <c r="BY26" i="15"/>
  <c r="BX26" i="15"/>
  <c r="BW26" i="15"/>
  <c r="BV26" i="15"/>
  <c r="BU26" i="15"/>
  <c r="BT26" i="15"/>
  <c r="BS26" i="15"/>
  <c r="BR26" i="15"/>
  <c r="BQ26" i="15"/>
  <c r="BP26" i="15"/>
  <c r="BO26" i="15"/>
  <c r="BN26" i="15"/>
  <c r="BM26" i="15"/>
  <c r="BL26" i="15"/>
  <c r="BK26" i="15"/>
  <c r="BJ26" i="15"/>
  <c r="BI26" i="15"/>
  <c r="BH26" i="15"/>
  <c r="BG26" i="15"/>
  <c r="BF26" i="15"/>
  <c r="BE26" i="15"/>
  <c r="CP25" i="15"/>
  <c r="CO25" i="15"/>
  <c r="CN25" i="15"/>
  <c r="CM25" i="15"/>
  <c r="CL25" i="15"/>
  <c r="CK25" i="15"/>
  <c r="CJ25" i="15"/>
  <c r="CI25" i="15"/>
  <c r="CH25" i="15"/>
  <c r="CG25" i="15"/>
  <c r="CF25" i="15"/>
  <c r="CE25" i="15"/>
  <c r="CD25" i="15"/>
  <c r="CC25" i="15"/>
  <c r="CB25" i="15"/>
  <c r="CA25" i="15"/>
  <c r="BZ25" i="15"/>
  <c r="BY25" i="15"/>
  <c r="BX25" i="15"/>
  <c r="BW25" i="15"/>
  <c r="BV25" i="15"/>
  <c r="BU25" i="15"/>
  <c r="BT25" i="15"/>
  <c r="BS25" i="15"/>
  <c r="BR25" i="15"/>
  <c r="BQ25" i="15"/>
  <c r="BP25" i="15"/>
  <c r="BO25" i="15"/>
  <c r="BN25" i="15"/>
  <c r="BM25" i="15"/>
  <c r="BL25" i="15"/>
  <c r="BK25" i="15"/>
  <c r="BJ25" i="15"/>
  <c r="BI25" i="15"/>
  <c r="BH25" i="15"/>
  <c r="BG25" i="15"/>
  <c r="BF25" i="15"/>
  <c r="BE25" i="15"/>
  <c r="CP24" i="15"/>
  <c r="CO24" i="15"/>
  <c r="CN24" i="15"/>
  <c r="CM24" i="15"/>
  <c r="CL24" i="15"/>
  <c r="CK24" i="15"/>
  <c r="CJ24" i="15"/>
  <c r="CI24" i="15"/>
  <c r="CH24" i="15"/>
  <c r="CG24" i="15"/>
  <c r="CF24" i="15"/>
  <c r="CE24" i="15"/>
  <c r="CD24" i="15"/>
  <c r="CC24" i="15"/>
  <c r="CB24" i="15"/>
  <c r="CA24" i="15"/>
  <c r="BZ24" i="15"/>
  <c r="BY24" i="15"/>
  <c r="BX24" i="15"/>
  <c r="BW24" i="15"/>
  <c r="BV24" i="15"/>
  <c r="BU24" i="15"/>
  <c r="BT24" i="15"/>
  <c r="BS24" i="15"/>
  <c r="BR24" i="15"/>
  <c r="BQ24" i="15"/>
  <c r="BP24" i="15"/>
  <c r="BO24" i="15"/>
  <c r="BN24" i="15"/>
  <c r="BM24" i="15"/>
  <c r="BL24" i="15"/>
  <c r="BK24" i="15"/>
  <c r="BJ24" i="15"/>
  <c r="BI24" i="15"/>
  <c r="BH24" i="15"/>
  <c r="BG24" i="15"/>
  <c r="BF24" i="15"/>
  <c r="BE24" i="15"/>
  <c r="CP23" i="15"/>
  <c r="CO23" i="15"/>
  <c r="CN23" i="15"/>
  <c r="CM23" i="15"/>
  <c r="CL23" i="15"/>
  <c r="CK23" i="15"/>
  <c r="CJ23" i="15"/>
  <c r="CI23" i="15"/>
  <c r="CH23" i="15"/>
  <c r="CG23" i="15"/>
  <c r="CF23" i="15"/>
  <c r="CE23" i="15"/>
  <c r="CD23" i="15"/>
  <c r="CC23" i="15"/>
  <c r="CB23" i="15"/>
  <c r="CA23" i="15"/>
  <c r="BZ23" i="15"/>
  <c r="BY23" i="15"/>
  <c r="BX23" i="15"/>
  <c r="BW23" i="15"/>
  <c r="BV23" i="15"/>
  <c r="BU23" i="15"/>
  <c r="BT23" i="15"/>
  <c r="BS23" i="15"/>
  <c r="BR23" i="15"/>
  <c r="BQ23" i="15"/>
  <c r="BP23" i="15"/>
  <c r="BO23" i="15"/>
  <c r="BN23" i="15"/>
  <c r="BM23" i="15"/>
  <c r="BL23" i="15"/>
  <c r="BK23" i="15"/>
  <c r="BJ23" i="15"/>
  <c r="BI23" i="15"/>
  <c r="BH23" i="15"/>
  <c r="BG23" i="15"/>
  <c r="BF23" i="15"/>
  <c r="BE23" i="15"/>
  <c r="CP22" i="15"/>
  <c r="CO22" i="15"/>
  <c r="CN22" i="15"/>
  <c r="CM22" i="15"/>
  <c r="CL22" i="15"/>
  <c r="CK22" i="15"/>
  <c r="CJ22" i="15"/>
  <c r="CI22" i="15"/>
  <c r="CH22" i="15"/>
  <c r="CG22" i="15"/>
  <c r="CF22" i="15"/>
  <c r="CE22" i="15"/>
  <c r="CD22" i="15"/>
  <c r="CC22" i="15"/>
  <c r="CB22" i="15"/>
  <c r="CA22" i="15"/>
  <c r="BZ22" i="15"/>
  <c r="BY22" i="15"/>
  <c r="BX22" i="15"/>
  <c r="BW22" i="15"/>
  <c r="BV22" i="15"/>
  <c r="BU22" i="15"/>
  <c r="BT22" i="15"/>
  <c r="BS22" i="15"/>
  <c r="BR22" i="15"/>
  <c r="BQ22" i="15"/>
  <c r="BP22" i="15"/>
  <c r="BO22" i="15"/>
  <c r="BN22" i="15"/>
  <c r="BM22" i="15"/>
  <c r="BL22" i="15"/>
  <c r="BK22" i="15"/>
  <c r="BJ22" i="15"/>
  <c r="BI22" i="15"/>
  <c r="BH22" i="15"/>
  <c r="BG22" i="15"/>
  <c r="BF22" i="15"/>
  <c r="BE22" i="15"/>
  <c r="CP21" i="15"/>
  <c r="CO21" i="15"/>
  <c r="CN21" i="15"/>
  <c r="CM21" i="15"/>
  <c r="CL21" i="15"/>
  <c r="CK21" i="15"/>
  <c r="CJ21" i="15"/>
  <c r="CI21" i="15"/>
  <c r="CH21" i="15"/>
  <c r="CG21" i="15"/>
  <c r="CF21" i="15"/>
  <c r="CE21" i="15"/>
  <c r="CD21" i="15"/>
  <c r="CC21" i="15"/>
  <c r="CB21" i="15"/>
  <c r="CA21" i="15"/>
  <c r="BZ21" i="15"/>
  <c r="BY21" i="15"/>
  <c r="BX21" i="15"/>
  <c r="BW21" i="15"/>
  <c r="BV21" i="15"/>
  <c r="BU21" i="15"/>
  <c r="BT21" i="15"/>
  <c r="BS21" i="15"/>
  <c r="BR21" i="15"/>
  <c r="BQ21" i="15"/>
  <c r="BP21" i="15"/>
  <c r="BO21" i="15"/>
  <c r="BN21" i="15"/>
  <c r="BM21" i="15"/>
  <c r="BL21" i="15"/>
  <c r="BK21" i="15"/>
  <c r="BJ21" i="15"/>
  <c r="BI21" i="15"/>
  <c r="BH21" i="15"/>
  <c r="BG21" i="15"/>
  <c r="BF21" i="15"/>
  <c r="BE21" i="15"/>
  <c r="CP20" i="15"/>
  <c r="CO20" i="15"/>
  <c r="CN20" i="15"/>
  <c r="CM20" i="15"/>
  <c r="CL20" i="15"/>
  <c r="CK20" i="15"/>
  <c r="CJ20" i="15"/>
  <c r="CI20" i="15"/>
  <c r="CH20" i="15"/>
  <c r="CG20" i="15"/>
  <c r="CF20" i="15"/>
  <c r="CE20" i="15"/>
  <c r="CD20" i="15"/>
  <c r="CC20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BM20" i="15"/>
  <c r="BL20" i="15"/>
  <c r="BK20" i="15"/>
  <c r="BJ20" i="15"/>
  <c r="BI20" i="15"/>
  <c r="BH20" i="15"/>
  <c r="BG20" i="15"/>
  <c r="BF20" i="15"/>
  <c r="BE20" i="15"/>
  <c r="CP19" i="15"/>
  <c r="CO19" i="15"/>
  <c r="CN19" i="15"/>
  <c r="CM19" i="15"/>
  <c r="CL19" i="15"/>
  <c r="CK19" i="15"/>
  <c r="CJ19" i="15"/>
  <c r="CI19" i="15"/>
  <c r="CH19" i="15"/>
  <c r="CG19" i="15"/>
  <c r="CF19" i="15"/>
  <c r="CE19" i="15"/>
  <c r="CD19" i="15"/>
  <c r="CC19" i="15"/>
  <c r="CB19" i="15"/>
  <c r="CA19" i="15"/>
  <c r="BZ19" i="15"/>
  <c r="BY19" i="15"/>
  <c r="BX19" i="15"/>
  <c r="BW19" i="15"/>
  <c r="BV19" i="15"/>
  <c r="BU19" i="15"/>
  <c r="BT19" i="15"/>
  <c r="BS19" i="15"/>
  <c r="BR19" i="15"/>
  <c r="BQ19" i="15"/>
  <c r="BP19" i="15"/>
  <c r="BO19" i="15"/>
  <c r="BN19" i="15"/>
  <c r="BM19" i="15"/>
  <c r="BL19" i="15"/>
  <c r="BK19" i="15"/>
  <c r="BJ19" i="15"/>
  <c r="BI19" i="15"/>
  <c r="BH19" i="15"/>
  <c r="BG19" i="15"/>
  <c r="BF19" i="15"/>
  <c r="BE19" i="15"/>
  <c r="CP18" i="15"/>
  <c r="CO18" i="15"/>
  <c r="CN18" i="15"/>
  <c r="CM18" i="15"/>
  <c r="CL18" i="15"/>
  <c r="CK18" i="15"/>
  <c r="CJ18" i="15"/>
  <c r="CI18" i="15"/>
  <c r="CH18" i="15"/>
  <c r="CG18" i="15"/>
  <c r="CF18" i="15"/>
  <c r="CE18" i="15"/>
  <c r="CD18" i="15"/>
  <c r="CC18" i="15"/>
  <c r="CB18" i="15"/>
  <c r="CA18" i="15"/>
  <c r="BZ18" i="15"/>
  <c r="BY18" i="15"/>
  <c r="BX18" i="15"/>
  <c r="BW18" i="15"/>
  <c r="BV18" i="15"/>
  <c r="BU18" i="15"/>
  <c r="BT18" i="15"/>
  <c r="BS18" i="15"/>
  <c r="BR18" i="15"/>
  <c r="BQ18" i="15"/>
  <c r="BP18" i="15"/>
  <c r="BO18" i="15"/>
  <c r="BN18" i="15"/>
  <c r="BM18" i="15"/>
  <c r="BL18" i="15"/>
  <c r="BK18" i="15"/>
  <c r="BJ18" i="15"/>
  <c r="BI18" i="15"/>
  <c r="BH18" i="15"/>
  <c r="BG18" i="15"/>
  <c r="BF18" i="15"/>
  <c r="BE18" i="15"/>
  <c r="CP17" i="15"/>
  <c r="CO17" i="15"/>
  <c r="CN17" i="15"/>
  <c r="CM17" i="15"/>
  <c r="CL17" i="15"/>
  <c r="CK17" i="15"/>
  <c r="CJ17" i="15"/>
  <c r="CI17" i="15"/>
  <c r="CH17" i="15"/>
  <c r="CG17" i="15"/>
  <c r="CF17" i="15"/>
  <c r="CE17" i="15"/>
  <c r="CD17" i="15"/>
  <c r="CC17" i="15"/>
  <c r="CB17" i="15"/>
  <c r="CA17" i="15"/>
  <c r="BZ17" i="15"/>
  <c r="BY17" i="15"/>
  <c r="BX17" i="15"/>
  <c r="BW17" i="15"/>
  <c r="BV17" i="15"/>
  <c r="BU17" i="15"/>
  <c r="BT17" i="15"/>
  <c r="BS17" i="15"/>
  <c r="BR17" i="15"/>
  <c r="BQ17" i="15"/>
  <c r="BP17" i="15"/>
  <c r="BO17" i="15"/>
  <c r="BN17" i="15"/>
  <c r="BM17" i="15"/>
  <c r="BL17" i="15"/>
  <c r="BK17" i="15"/>
  <c r="BJ17" i="15"/>
  <c r="BI17" i="15"/>
  <c r="BH17" i="15"/>
  <c r="BG17" i="15"/>
  <c r="BF17" i="15"/>
  <c r="BE17" i="15"/>
  <c r="CP16" i="15"/>
  <c r="CO16" i="15"/>
  <c r="CN16" i="15"/>
  <c r="CM16" i="15"/>
  <c r="CL16" i="15"/>
  <c r="CK16" i="15"/>
  <c r="CJ16" i="15"/>
  <c r="CI16" i="15"/>
  <c r="CH16" i="15"/>
  <c r="CG16" i="15"/>
  <c r="CF16" i="15"/>
  <c r="CE16" i="15"/>
  <c r="CD16" i="15"/>
  <c r="CC16" i="15"/>
  <c r="CB16" i="15"/>
  <c r="CA16" i="15"/>
  <c r="BZ16" i="15"/>
  <c r="BY16" i="15"/>
  <c r="BX16" i="15"/>
  <c r="BW16" i="15"/>
  <c r="BV16" i="15"/>
  <c r="BU16" i="15"/>
  <c r="BT16" i="15"/>
  <c r="BS16" i="15"/>
  <c r="BR16" i="15"/>
  <c r="BQ16" i="15"/>
  <c r="BP16" i="15"/>
  <c r="BO16" i="15"/>
  <c r="BN16" i="15"/>
  <c r="BM16" i="15"/>
  <c r="BL16" i="15"/>
  <c r="BK16" i="15"/>
  <c r="BJ16" i="15"/>
  <c r="BI16" i="15"/>
  <c r="BH16" i="15"/>
  <c r="BG16" i="15"/>
  <c r="BF16" i="15"/>
  <c r="BE16" i="15"/>
  <c r="CP15" i="15"/>
  <c r="CO15" i="15"/>
  <c r="CN15" i="15"/>
  <c r="CM15" i="15"/>
  <c r="CL15" i="15"/>
  <c r="CK15" i="15"/>
  <c r="CJ15" i="15"/>
  <c r="CI15" i="15"/>
  <c r="CH15" i="15"/>
  <c r="CG15" i="15"/>
  <c r="CF15" i="15"/>
  <c r="CE15" i="15"/>
  <c r="CD15" i="15"/>
  <c r="CC15" i="15"/>
  <c r="CB15" i="15"/>
  <c r="CA15" i="15"/>
  <c r="BZ15" i="15"/>
  <c r="BY15" i="15"/>
  <c r="BX15" i="15"/>
  <c r="BW15" i="15"/>
  <c r="BV15" i="15"/>
  <c r="BU15" i="15"/>
  <c r="BT15" i="15"/>
  <c r="BS15" i="15"/>
  <c r="BR15" i="15"/>
  <c r="BQ15" i="15"/>
  <c r="BP15" i="15"/>
  <c r="BO15" i="15"/>
  <c r="BN15" i="15"/>
  <c r="BM15" i="15"/>
  <c r="BL15" i="15"/>
  <c r="BK15" i="15"/>
  <c r="BJ15" i="15"/>
  <c r="BI15" i="15"/>
  <c r="BH15" i="15"/>
  <c r="BG15" i="15"/>
  <c r="BF15" i="15"/>
  <c r="BE15" i="15"/>
  <c r="CP14" i="15"/>
  <c r="CO14" i="15"/>
  <c r="CN14" i="15"/>
  <c r="CM14" i="15"/>
  <c r="CL14" i="15"/>
  <c r="CK14" i="15"/>
  <c r="CJ14" i="15"/>
  <c r="CI14" i="15"/>
  <c r="CH14" i="15"/>
  <c r="CG14" i="15"/>
  <c r="CF14" i="15"/>
  <c r="CE14" i="15"/>
  <c r="CD14" i="15"/>
  <c r="CC14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BM14" i="15"/>
  <c r="BL14" i="15"/>
  <c r="BK14" i="15"/>
  <c r="BJ14" i="15"/>
  <c r="BI14" i="15"/>
  <c r="BH14" i="15"/>
  <c r="BG14" i="15"/>
  <c r="BF14" i="15"/>
  <c r="BE14" i="15"/>
  <c r="CP13" i="15"/>
  <c r="CO13" i="15"/>
  <c r="CN13" i="15"/>
  <c r="CM13" i="15"/>
  <c r="CL13" i="15"/>
  <c r="CK13" i="15"/>
  <c r="CJ13" i="15"/>
  <c r="CI13" i="15"/>
  <c r="CH13" i="15"/>
  <c r="CG13" i="15"/>
  <c r="CF13" i="15"/>
  <c r="CE13" i="15"/>
  <c r="CD13" i="15"/>
  <c r="CC13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P13" i="15"/>
  <c r="BO13" i="15"/>
  <c r="BN13" i="15"/>
  <c r="BM13" i="15"/>
  <c r="BL13" i="15"/>
  <c r="BK13" i="15"/>
  <c r="BJ13" i="15"/>
  <c r="BI13" i="15"/>
  <c r="BH13" i="15"/>
  <c r="BG13" i="15"/>
  <c r="BF13" i="15"/>
  <c r="BE13" i="15"/>
  <c r="CP12" i="15"/>
  <c r="CO12" i="15"/>
  <c r="CN12" i="15"/>
  <c r="CM12" i="15"/>
  <c r="CL12" i="15"/>
  <c r="CK12" i="15"/>
  <c r="CJ12" i="15"/>
  <c r="CI12" i="15"/>
  <c r="CH12" i="15"/>
  <c r="CG12" i="15"/>
  <c r="CF12" i="15"/>
  <c r="CE12" i="15"/>
  <c r="CD12" i="15"/>
  <c r="CC12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BM12" i="15"/>
  <c r="BL12" i="15"/>
  <c r="BK12" i="15"/>
  <c r="BJ12" i="15"/>
  <c r="BI12" i="15"/>
  <c r="BH12" i="15"/>
  <c r="BG12" i="15"/>
  <c r="BF12" i="15"/>
  <c r="BE12" i="15"/>
  <c r="CP11" i="15"/>
  <c r="CO11" i="15"/>
  <c r="CN11" i="15"/>
  <c r="CM11" i="15"/>
  <c r="CL11" i="15"/>
  <c r="CK11" i="15"/>
  <c r="CJ11" i="15"/>
  <c r="CI11" i="15"/>
  <c r="CH11" i="15"/>
  <c r="CG11" i="15"/>
  <c r="CF11" i="15"/>
  <c r="CE11" i="15"/>
  <c r="CD11" i="15"/>
  <c r="CC11" i="15"/>
  <c r="CB11" i="15"/>
  <c r="CA11" i="15"/>
  <c r="BZ11" i="15"/>
  <c r="BY11" i="15"/>
  <c r="BX11" i="15"/>
  <c r="BW11" i="15"/>
  <c r="BV11" i="15"/>
  <c r="BU11" i="15"/>
  <c r="BT11" i="15"/>
  <c r="BS11" i="15"/>
  <c r="BR11" i="15"/>
  <c r="BQ11" i="15"/>
  <c r="BP11" i="15"/>
  <c r="BO11" i="15"/>
  <c r="BN11" i="15"/>
  <c r="BM11" i="15"/>
  <c r="BL11" i="15"/>
  <c r="BK11" i="15"/>
  <c r="BJ11" i="15"/>
  <c r="BI11" i="15"/>
  <c r="BH11" i="15"/>
  <c r="BG11" i="15"/>
  <c r="BF11" i="15"/>
  <c r="BE11" i="15"/>
  <c r="CP10" i="15"/>
  <c r="CO10" i="15"/>
  <c r="CN10" i="15"/>
  <c r="CM10" i="15"/>
  <c r="CL10" i="15"/>
  <c r="CK10" i="15"/>
  <c r="CJ10" i="15"/>
  <c r="CI10" i="15"/>
  <c r="CH10" i="15"/>
  <c r="CG10" i="15"/>
  <c r="CF10" i="15"/>
  <c r="CE10" i="15"/>
  <c r="CD10" i="15"/>
  <c r="CC10" i="15"/>
  <c r="CB10" i="15"/>
  <c r="CA10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BN10" i="15"/>
  <c r="BM10" i="15"/>
  <c r="BL10" i="15"/>
  <c r="BK10" i="15"/>
  <c r="BJ10" i="15"/>
  <c r="BI10" i="15"/>
  <c r="BH10" i="15"/>
  <c r="BG10" i="15"/>
  <c r="BF10" i="15"/>
  <c r="BE10" i="15"/>
  <c r="CP9" i="15"/>
  <c r="CO9" i="15"/>
  <c r="CN9" i="15"/>
  <c r="CM9" i="15"/>
  <c r="CL9" i="15"/>
  <c r="CK9" i="15"/>
  <c r="CJ9" i="15"/>
  <c r="CI9" i="15"/>
  <c r="CH9" i="15"/>
  <c r="CG9" i="15"/>
  <c r="CF9" i="15"/>
  <c r="CE9" i="15"/>
  <c r="CD9" i="15"/>
  <c r="CC9" i="15"/>
  <c r="CB9" i="15"/>
  <c r="CA9" i="15"/>
  <c r="BZ9" i="15"/>
  <c r="BY9" i="15"/>
  <c r="BX9" i="15"/>
  <c r="BW9" i="15"/>
  <c r="BV9" i="15"/>
  <c r="BU9" i="15"/>
  <c r="BT9" i="15"/>
  <c r="BS9" i="15"/>
  <c r="BR9" i="15"/>
  <c r="BQ9" i="15"/>
  <c r="BP9" i="15"/>
  <c r="BO9" i="15"/>
  <c r="BN9" i="15"/>
  <c r="BM9" i="15"/>
  <c r="BL9" i="15"/>
  <c r="BK9" i="15"/>
  <c r="BJ9" i="15"/>
  <c r="BI9" i="15"/>
  <c r="BH9" i="15"/>
  <c r="BG9" i="15"/>
  <c r="BF9" i="15"/>
  <c r="BE9" i="15"/>
  <c r="CP8" i="15"/>
  <c r="CO8" i="15"/>
  <c r="CN8" i="15"/>
  <c r="CM8" i="15"/>
  <c r="CL8" i="15"/>
  <c r="CK8" i="15"/>
  <c r="CJ8" i="15"/>
  <c r="CI8" i="15"/>
  <c r="CH8" i="15"/>
  <c r="CG8" i="15"/>
  <c r="CF8" i="15"/>
  <c r="CE8" i="15"/>
  <c r="CD8" i="15"/>
  <c r="CC8" i="15"/>
  <c r="CB8" i="15"/>
  <c r="CA8" i="15"/>
  <c r="BZ8" i="15"/>
  <c r="BY8" i="15"/>
  <c r="BX8" i="15"/>
  <c r="BW8" i="15"/>
  <c r="BV8" i="15"/>
  <c r="BU8" i="15"/>
  <c r="BT8" i="15"/>
  <c r="BS8" i="15"/>
  <c r="BR8" i="15"/>
  <c r="BQ8" i="15"/>
  <c r="BP8" i="15"/>
  <c r="BO8" i="15"/>
  <c r="BN8" i="15"/>
  <c r="BM8" i="15"/>
  <c r="BL8" i="15"/>
  <c r="BK8" i="15"/>
  <c r="BJ8" i="15"/>
  <c r="BI8" i="15"/>
  <c r="BH8" i="15"/>
  <c r="BG8" i="15"/>
  <c r="BF8" i="15"/>
  <c r="BE8" i="15"/>
  <c r="CP7" i="15"/>
  <c r="CO7" i="15"/>
  <c r="CN7" i="15"/>
  <c r="CM7" i="15"/>
  <c r="CL7" i="15"/>
  <c r="CK7" i="15"/>
  <c r="CJ7" i="15"/>
  <c r="CI7" i="15"/>
  <c r="CH7" i="15"/>
  <c r="CG7" i="15"/>
  <c r="CF7" i="15"/>
  <c r="CE7" i="15"/>
  <c r="CD7" i="15"/>
  <c r="CC7" i="15"/>
  <c r="CB7" i="15"/>
  <c r="CA7" i="15"/>
  <c r="BZ7" i="15"/>
  <c r="BY7" i="15"/>
  <c r="BX7" i="15"/>
  <c r="BW7" i="15"/>
  <c r="BV7" i="15"/>
  <c r="BU7" i="15"/>
  <c r="BT7" i="15"/>
  <c r="BS7" i="15"/>
  <c r="BR7" i="15"/>
  <c r="BQ7" i="15"/>
  <c r="BP7" i="15"/>
  <c r="BO7" i="15"/>
  <c r="BN7" i="15"/>
  <c r="BM7" i="15"/>
  <c r="BL7" i="15"/>
  <c r="BK7" i="15"/>
  <c r="BJ7" i="15"/>
  <c r="BI7" i="15"/>
  <c r="BH7" i="15"/>
  <c r="BG7" i="15"/>
  <c r="BF7" i="15"/>
  <c r="BE7" i="15"/>
  <c r="CP6" i="15"/>
  <c r="CO6" i="15"/>
  <c r="CN6" i="15"/>
  <c r="CM6" i="15"/>
  <c r="CL6" i="15"/>
  <c r="CK6" i="15"/>
  <c r="CJ6" i="15"/>
  <c r="CI6" i="15"/>
  <c r="CH6" i="15"/>
  <c r="CG6" i="15"/>
  <c r="CF6" i="15"/>
  <c r="CE6" i="15"/>
  <c r="CD6" i="15"/>
  <c r="CC6" i="15"/>
  <c r="CB6" i="15"/>
  <c r="CA6" i="15"/>
  <c r="BZ6" i="15"/>
  <c r="BY6" i="15"/>
  <c r="BX6" i="15"/>
  <c r="BW6" i="15"/>
  <c r="BV6" i="15"/>
  <c r="BU6" i="15"/>
  <c r="BT6" i="15"/>
  <c r="BS6" i="15"/>
  <c r="BR6" i="15"/>
  <c r="BQ6" i="15"/>
  <c r="BP6" i="15"/>
  <c r="BO6" i="15"/>
  <c r="BN6" i="15"/>
  <c r="BM6" i="15"/>
  <c r="BL6" i="15"/>
  <c r="BK6" i="15"/>
  <c r="BJ6" i="15"/>
  <c r="BI6" i="15"/>
  <c r="BH6" i="15"/>
  <c r="BG6" i="15"/>
  <c r="BF6" i="15"/>
  <c r="BE6" i="15"/>
  <c r="CP5" i="15"/>
  <c r="CO5" i="15"/>
  <c r="CN5" i="15"/>
  <c r="CM5" i="15"/>
  <c r="CL5" i="15"/>
  <c r="CK5" i="15"/>
  <c r="CJ5" i="15"/>
  <c r="CI5" i="15"/>
  <c r="CH5" i="15"/>
  <c r="CG5" i="15"/>
  <c r="CF5" i="15"/>
  <c r="CE5" i="15"/>
  <c r="CD5" i="15"/>
  <c r="CC5" i="15"/>
  <c r="CB5" i="15"/>
  <c r="CA5" i="15"/>
  <c r="BZ5" i="15"/>
  <c r="BY5" i="15"/>
  <c r="BX5" i="15"/>
  <c r="BW5" i="15"/>
  <c r="BV5" i="15"/>
  <c r="BU5" i="15"/>
  <c r="BT5" i="15"/>
  <c r="BS5" i="15"/>
  <c r="BR5" i="15"/>
  <c r="BQ5" i="15"/>
  <c r="BP5" i="15"/>
  <c r="BO5" i="15"/>
  <c r="BN5" i="15"/>
  <c r="BM5" i="15"/>
  <c r="BL5" i="15"/>
  <c r="BK5" i="15"/>
  <c r="BJ5" i="15"/>
  <c r="BI5" i="15"/>
  <c r="BH5" i="15"/>
  <c r="BG5" i="15"/>
  <c r="BF5" i="15"/>
  <c r="BE5" i="15"/>
  <c r="AF4" i="16"/>
  <c r="AE4" i="16"/>
  <c r="AD4" i="16"/>
  <c r="AC4" i="16"/>
  <c r="AB4" i="16"/>
  <c r="AA4" i="16"/>
  <c r="Z4" i="16"/>
  <c r="Y4" i="16"/>
  <c r="X4" i="16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Z5" i="5"/>
  <c r="W30" i="5" l="1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W9" i="5"/>
  <c r="W8" i="5"/>
  <c r="W7" i="5"/>
  <c r="W6" i="5"/>
  <c r="W5" i="5"/>
  <c r="BB30" i="16" l="1"/>
  <c r="BA30" i="16"/>
  <c r="AZ30" i="16"/>
  <c r="AY30" i="16"/>
  <c r="BB29" i="16"/>
  <c r="BA29" i="16"/>
  <c r="AZ29" i="16"/>
  <c r="AY29" i="16"/>
  <c r="BB28" i="16"/>
  <c r="BA28" i="16"/>
  <c r="AZ28" i="16"/>
  <c r="AY28" i="16"/>
  <c r="BB24" i="16"/>
  <c r="BA24" i="16"/>
  <c r="AZ24" i="16"/>
  <c r="AY24" i="16"/>
  <c r="BB23" i="16"/>
  <c r="BA23" i="16"/>
  <c r="AZ23" i="16"/>
  <c r="AY23" i="16"/>
  <c r="BB22" i="16"/>
  <c r="BA22" i="16"/>
  <c r="AZ22" i="16"/>
  <c r="AY22" i="16"/>
  <c r="BB20" i="16"/>
  <c r="BA20" i="16"/>
  <c r="AZ20" i="16"/>
  <c r="AY20" i="16"/>
  <c r="BB19" i="16"/>
  <c r="BA19" i="16"/>
  <c r="AZ19" i="16"/>
  <c r="AY19" i="16"/>
  <c r="BB18" i="16"/>
  <c r="BA18" i="16"/>
  <c r="AZ18" i="16"/>
  <c r="AY18" i="16"/>
  <c r="BB17" i="16"/>
  <c r="BA17" i="16"/>
  <c r="AZ17" i="16"/>
  <c r="AY17" i="16"/>
  <c r="BB16" i="16"/>
  <c r="BA16" i="16"/>
  <c r="AZ16" i="16"/>
  <c r="AY16" i="16"/>
  <c r="BB15" i="16"/>
  <c r="BA15" i="16"/>
  <c r="AZ15" i="16"/>
  <c r="AY15" i="16"/>
  <c r="BB14" i="16"/>
  <c r="BA14" i="16"/>
  <c r="AZ14" i="16"/>
  <c r="AY14" i="16"/>
  <c r="BB13" i="16"/>
  <c r="BA13" i="16"/>
  <c r="AZ13" i="16"/>
  <c r="AY13" i="16"/>
  <c r="BB12" i="16"/>
  <c r="BA12" i="16"/>
  <c r="AZ12" i="16"/>
  <c r="AY12" i="16"/>
  <c r="BB10" i="16"/>
  <c r="BA10" i="16"/>
  <c r="AZ10" i="16"/>
  <c r="AY10" i="16"/>
  <c r="BB9" i="16"/>
  <c r="BA9" i="16"/>
  <c r="AZ9" i="16"/>
  <c r="AY9" i="16"/>
  <c r="BB7" i="16"/>
  <c r="BA7" i="16"/>
  <c r="AZ7" i="16"/>
  <c r="AY7" i="16"/>
  <c r="BB6" i="16"/>
  <c r="BA6" i="16"/>
  <c r="AZ6" i="16"/>
  <c r="AY6" i="16"/>
  <c r="BB5" i="16"/>
  <c r="BA5" i="16"/>
  <c r="AZ5" i="16"/>
  <c r="AY5" i="16"/>
  <c r="AY4" i="16"/>
  <c r="BB3" i="16"/>
  <c r="BA3" i="16"/>
  <c r="AZ3" i="16"/>
  <c r="AY3" i="16"/>
  <c r="AD34" i="16"/>
  <c r="AE34" i="16"/>
  <c r="AF34" i="16"/>
  <c r="AD35" i="16"/>
  <c r="AE35" i="16"/>
  <c r="AF35" i="16"/>
  <c r="AZ4" i="16"/>
  <c r="AZ32" i="16" s="1"/>
  <c r="BA4" i="16"/>
  <c r="BA32" i="16" s="1"/>
  <c r="AZ35" i="16" l="1"/>
  <c r="AY34" i="16"/>
  <c r="AY35" i="16"/>
  <c r="AY32" i="16"/>
  <c r="AZ34" i="16"/>
  <c r="P32" i="5" l="1"/>
  <c r="P33" i="5"/>
  <c r="P38" i="5"/>
  <c r="U38" i="5"/>
  <c r="P39" i="5" a="1"/>
  <c r="P39" i="5" s="1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DG24" i="5" l="1"/>
  <c r="DK24" i="5"/>
  <c r="DF24" i="5"/>
  <c r="DJ24" i="5"/>
  <c r="DI24" i="5"/>
  <c r="DE24" i="5"/>
  <c r="DH24" i="5"/>
  <c r="DF27" i="5"/>
  <c r="DJ27" i="5"/>
  <c r="DE27" i="5"/>
  <c r="DI27" i="5"/>
  <c r="DH27" i="5"/>
  <c r="DG27" i="5"/>
  <c r="DK27" i="5"/>
  <c r="DE19" i="5"/>
  <c r="DI19" i="5"/>
  <c r="DH19" i="5"/>
  <c r="DK19" i="5"/>
  <c r="DF19" i="5"/>
  <c r="DG19" i="5"/>
  <c r="DJ19" i="5"/>
  <c r="DE11" i="5"/>
  <c r="DI11" i="5"/>
  <c r="DH11" i="5"/>
  <c r="DK11" i="5"/>
  <c r="DF11" i="5"/>
  <c r="DG11" i="5"/>
  <c r="DJ11" i="5"/>
  <c r="DE30" i="5"/>
  <c r="DI30" i="5"/>
  <c r="DG30" i="5"/>
  <c r="DF30" i="5"/>
  <c r="DJ30" i="5"/>
  <c r="DK30" i="5"/>
  <c r="DH30" i="5"/>
  <c r="DE26" i="5"/>
  <c r="DI26" i="5"/>
  <c r="DH26" i="5"/>
  <c r="DK26" i="5"/>
  <c r="DF26" i="5"/>
  <c r="DG26" i="5"/>
  <c r="DJ26" i="5"/>
  <c r="DI22" i="5"/>
  <c r="DH22" i="5"/>
  <c r="DG22" i="5"/>
  <c r="DK22" i="5"/>
  <c r="DJ22" i="5"/>
  <c r="DF22" i="5"/>
  <c r="DE22" i="5"/>
  <c r="DH18" i="5"/>
  <c r="DG18" i="5"/>
  <c r="DK18" i="5"/>
  <c r="DJ18" i="5"/>
  <c r="DF18" i="5"/>
  <c r="DE18" i="5"/>
  <c r="DI18" i="5"/>
  <c r="DH14" i="5"/>
  <c r="DG14" i="5"/>
  <c r="DK14" i="5"/>
  <c r="DF14" i="5"/>
  <c r="DJ14" i="5"/>
  <c r="DI14" i="5"/>
  <c r="DE14" i="5"/>
  <c r="DH10" i="5"/>
  <c r="DG10" i="5"/>
  <c r="DK10" i="5"/>
  <c r="DJ10" i="5"/>
  <c r="DF10" i="5"/>
  <c r="DE10" i="5"/>
  <c r="DI10" i="5"/>
  <c r="DH6" i="5"/>
  <c r="DG6" i="5"/>
  <c r="DK6" i="5"/>
  <c r="DF6" i="5"/>
  <c r="DI6" i="5"/>
  <c r="DJ6" i="5"/>
  <c r="DE6" i="5"/>
  <c r="DG28" i="5"/>
  <c r="DF28" i="5"/>
  <c r="DE28" i="5"/>
  <c r="DK28" i="5"/>
  <c r="DH28" i="5"/>
  <c r="DI28" i="5"/>
  <c r="DJ28" i="5"/>
  <c r="DF20" i="5"/>
  <c r="DJ20" i="5"/>
  <c r="DE20" i="5"/>
  <c r="DI20" i="5"/>
  <c r="DH20" i="5"/>
  <c r="DG20" i="5"/>
  <c r="DK20" i="5"/>
  <c r="DF16" i="5"/>
  <c r="DJ16" i="5"/>
  <c r="DE16" i="5"/>
  <c r="DI16" i="5"/>
  <c r="DH16" i="5"/>
  <c r="DK16" i="5"/>
  <c r="DG16" i="5"/>
  <c r="DF12" i="5"/>
  <c r="DJ12" i="5"/>
  <c r="DE12" i="5"/>
  <c r="DI12" i="5"/>
  <c r="DH12" i="5"/>
  <c r="DG12" i="5"/>
  <c r="DK12" i="5"/>
  <c r="DF8" i="5"/>
  <c r="DJ8" i="5"/>
  <c r="DE8" i="5"/>
  <c r="DI8" i="5"/>
  <c r="DH8" i="5"/>
  <c r="DK8" i="5"/>
  <c r="DG8" i="5"/>
  <c r="DF23" i="5"/>
  <c r="DJ23" i="5"/>
  <c r="DE23" i="5"/>
  <c r="DI23" i="5"/>
  <c r="DH23" i="5"/>
  <c r="DK23" i="5"/>
  <c r="DG23" i="5"/>
  <c r="DE15" i="5"/>
  <c r="DI15" i="5"/>
  <c r="DH15" i="5"/>
  <c r="DG15" i="5"/>
  <c r="DK15" i="5"/>
  <c r="DJ15" i="5"/>
  <c r="DF15" i="5"/>
  <c r="DE7" i="5"/>
  <c r="DI7" i="5"/>
  <c r="DH7" i="5"/>
  <c r="DG7" i="5"/>
  <c r="DK7" i="5"/>
  <c r="DJ7" i="5"/>
  <c r="DF7" i="5"/>
  <c r="DH29" i="5"/>
  <c r="DF29" i="5"/>
  <c r="DE29" i="5"/>
  <c r="DI29" i="5"/>
  <c r="DJ29" i="5"/>
  <c r="DK29" i="5"/>
  <c r="DG29" i="5"/>
  <c r="DH25" i="5"/>
  <c r="DG25" i="5"/>
  <c r="DK25" i="5"/>
  <c r="DJ25" i="5"/>
  <c r="DF25" i="5"/>
  <c r="DE25" i="5"/>
  <c r="DI25" i="5"/>
  <c r="DG21" i="5"/>
  <c r="DK21" i="5"/>
  <c r="DF21" i="5"/>
  <c r="DJ21" i="5"/>
  <c r="DE21" i="5"/>
  <c r="DH21" i="5"/>
  <c r="DI21" i="5"/>
  <c r="DG17" i="5"/>
  <c r="DK17" i="5"/>
  <c r="DF17" i="5"/>
  <c r="DJ17" i="5"/>
  <c r="DI17" i="5"/>
  <c r="DE17" i="5"/>
  <c r="DH17" i="5"/>
  <c r="DG13" i="5"/>
  <c r="DK13" i="5"/>
  <c r="DF13" i="5"/>
  <c r="DJ13" i="5"/>
  <c r="DE13" i="5"/>
  <c r="DH13" i="5"/>
  <c r="DI13" i="5"/>
  <c r="DG9" i="5"/>
  <c r="DK9" i="5"/>
  <c r="DF9" i="5"/>
  <c r="DJ9" i="5"/>
  <c r="DI9" i="5"/>
  <c r="DE9" i="5"/>
  <c r="DH9" i="5"/>
  <c r="DG5" i="5"/>
  <c r="DK5" i="5"/>
  <c r="DF5" i="5"/>
  <c r="DJ5" i="5"/>
  <c r="DE5" i="5"/>
  <c r="DI5" i="5"/>
  <c r="DH5" i="5"/>
  <c r="BS27" i="5"/>
  <c r="BW27" i="5"/>
  <c r="CA27" i="5"/>
  <c r="CE27" i="5"/>
  <c r="CI27" i="5"/>
  <c r="CM27" i="5"/>
  <c r="CQ27" i="5"/>
  <c r="CU27" i="5"/>
  <c r="CY27" i="5"/>
  <c r="DC27" i="5"/>
  <c r="BZ27" i="5"/>
  <c r="CD27" i="5"/>
  <c r="CH27" i="5"/>
  <c r="CL27" i="5"/>
  <c r="CP27" i="5"/>
  <c r="CT27" i="5"/>
  <c r="CX27" i="5"/>
  <c r="DB27" i="5"/>
  <c r="BY27" i="5"/>
  <c r="CG27" i="5"/>
  <c r="CO27" i="5"/>
  <c r="CW27" i="5"/>
  <c r="CB27" i="5"/>
  <c r="CR27" i="5"/>
  <c r="BX27" i="5"/>
  <c r="CF27" i="5"/>
  <c r="CN27" i="5"/>
  <c r="CV27" i="5"/>
  <c r="DD27" i="5"/>
  <c r="BT27" i="5"/>
  <c r="CJ27" i="5"/>
  <c r="CZ27" i="5"/>
  <c r="BU27" i="5"/>
  <c r="CC27" i="5"/>
  <c r="CK27" i="5"/>
  <c r="CS27" i="5"/>
  <c r="DA27" i="5"/>
  <c r="BV27" i="5"/>
  <c r="BR27" i="5"/>
  <c r="BS23" i="5"/>
  <c r="BW23" i="5"/>
  <c r="CA23" i="5"/>
  <c r="CE23" i="5"/>
  <c r="CI23" i="5"/>
  <c r="CM23" i="5"/>
  <c r="CQ23" i="5"/>
  <c r="CU23" i="5"/>
  <c r="CY23" i="5"/>
  <c r="DC23" i="5"/>
  <c r="BZ23" i="5"/>
  <c r="CD23" i="5"/>
  <c r="CH23" i="5"/>
  <c r="CL23" i="5"/>
  <c r="CP23" i="5"/>
  <c r="CT23" i="5"/>
  <c r="CX23" i="5"/>
  <c r="DB23" i="5"/>
  <c r="BY23" i="5"/>
  <c r="CG23" i="5"/>
  <c r="CO23" i="5"/>
  <c r="CW23" i="5"/>
  <c r="BT23" i="5"/>
  <c r="CJ23" i="5"/>
  <c r="CZ23" i="5"/>
  <c r="BX23" i="5"/>
  <c r="CF23" i="5"/>
  <c r="CN23" i="5"/>
  <c r="CV23" i="5"/>
  <c r="DD23" i="5"/>
  <c r="CB23" i="5"/>
  <c r="CR23" i="5"/>
  <c r="BU23" i="5"/>
  <c r="CC23" i="5"/>
  <c r="CK23" i="5"/>
  <c r="CS23" i="5"/>
  <c r="DA23" i="5"/>
  <c r="BV23" i="5"/>
  <c r="BR23" i="5"/>
  <c r="BS19" i="5"/>
  <c r="BW19" i="5"/>
  <c r="CA19" i="5"/>
  <c r="CE19" i="5"/>
  <c r="CI19" i="5"/>
  <c r="CM19" i="5"/>
  <c r="CQ19" i="5"/>
  <c r="CU19" i="5"/>
  <c r="CY19" i="5"/>
  <c r="DC19" i="5"/>
  <c r="BX19" i="5"/>
  <c r="CC19" i="5"/>
  <c r="CH19" i="5"/>
  <c r="CN19" i="5"/>
  <c r="CS19" i="5"/>
  <c r="CX19" i="5"/>
  <c r="DD19" i="5"/>
  <c r="CB19" i="5"/>
  <c r="CG19" i="5"/>
  <c r="CL19" i="5"/>
  <c r="CR19" i="5"/>
  <c r="CW19" i="5"/>
  <c r="DB19" i="5"/>
  <c r="CF19" i="5"/>
  <c r="CP19" i="5"/>
  <c r="DA19" i="5"/>
  <c r="BY19" i="5"/>
  <c r="BT19" i="5"/>
  <c r="CD19" i="5"/>
  <c r="CO19" i="5"/>
  <c r="CZ19" i="5"/>
  <c r="CJ19" i="5"/>
  <c r="CT19" i="5"/>
  <c r="BZ19" i="5"/>
  <c r="CK19" i="5"/>
  <c r="CV19" i="5"/>
  <c r="BU19" i="5"/>
  <c r="BV19" i="5"/>
  <c r="BR19" i="5"/>
  <c r="BT15" i="5"/>
  <c r="BX15" i="5"/>
  <c r="CB15" i="5"/>
  <c r="CF15" i="5"/>
  <c r="CJ15" i="5"/>
  <c r="CN15" i="5"/>
  <c r="CR15" i="5"/>
  <c r="CV15" i="5"/>
  <c r="CZ15" i="5"/>
  <c r="DD15" i="5"/>
  <c r="BW15" i="5"/>
  <c r="CC15" i="5"/>
  <c r="CH15" i="5"/>
  <c r="CM15" i="5"/>
  <c r="CS15" i="5"/>
  <c r="CX15" i="5"/>
  <c r="DC15" i="5"/>
  <c r="BS15" i="5"/>
  <c r="BZ15" i="5"/>
  <c r="CG15" i="5"/>
  <c r="CO15" i="5"/>
  <c r="CU15" i="5"/>
  <c r="DB15" i="5"/>
  <c r="CA15" i="5"/>
  <c r="CI15" i="5"/>
  <c r="CP15" i="5"/>
  <c r="CW15" i="5"/>
  <c r="BY15" i="5"/>
  <c r="CE15" i="5"/>
  <c r="CL15" i="5"/>
  <c r="CT15" i="5"/>
  <c r="DA15" i="5"/>
  <c r="BV15" i="5"/>
  <c r="CY15" i="5"/>
  <c r="CD15" i="5"/>
  <c r="CQ15" i="5"/>
  <c r="CK15" i="5"/>
  <c r="BU15" i="5"/>
  <c r="BR15" i="5"/>
  <c r="BT11" i="5"/>
  <c r="BX11" i="5"/>
  <c r="CB11" i="5"/>
  <c r="CF11" i="5"/>
  <c r="CJ11" i="5"/>
  <c r="CN11" i="5"/>
  <c r="CR11" i="5"/>
  <c r="CV11" i="5"/>
  <c r="CZ11" i="5"/>
  <c r="DD11" i="5"/>
  <c r="BS11" i="5"/>
  <c r="BW11" i="5"/>
  <c r="CA11" i="5"/>
  <c r="CE11" i="5"/>
  <c r="CI11" i="5"/>
  <c r="CM11" i="5"/>
  <c r="CQ11" i="5"/>
  <c r="CU11" i="5"/>
  <c r="CY11" i="5"/>
  <c r="DC11" i="5"/>
  <c r="CC11" i="5"/>
  <c r="CK11" i="5"/>
  <c r="CS11" i="5"/>
  <c r="DA11" i="5"/>
  <c r="CD11" i="5"/>
  <c r="CL11" i="5"/>
  <c r="CT11" i="5"/>
  <c r="DB11" i="5"/>
  <c r="CG11" i="5"/>
  <c r="CW11" i="5"/>
  <c r="CH11" i="5"/>
  <c r="CX11" i="5"/>
  <c r="BZ11" i="5"/>
  <c r="CP11" i="5"/>
  <c r="BY11" i="5"/>
  <c r="CO11" i="5"/>
  <c r="BU11" i="5"/>
  <c r="BV11" i="5"/>
  <c r="BR11" i="5"/>
  <c r="BT7" i="5"/>
  <c r="BX7" i="5"/>
  <c r="CB7" i="5"/>
  <c r="CF7" i="5"/>
  <c r="CJ7" i="5"/>
  <c r="CN7" i="5"/>
  <c r="CR7" i="5"/>
  <c r="CV7" i="5"/>
  <c r="CZ7" i="5"/>
  <c r="DD7" i="5"/>
  <c r="BS7" i="5"/>
  <c r="BW7" i="5"/>
  <c r="CA7" i="5"/>
  <c r="CE7" i="5"/>
  <c r="CI7" i="5"/>
  <c r="CM7" i="5"/>
  <c r="CQ7" i="5"/>
  <c r="CU7" i="5"/>
  <c r="CY7" i="5"/>
  <c r="DC7" i="5"/>
  <c r="CC7" i="5"/>
  <c r="CK7" i="5"/>
  <c r="CS7" i="5"/>
  <c r="DA7" i="5"/>
  <c r="CD7" i="5"/>
  <c r="CL7" i="5"/>
  <c r="CT7" i="5"/>
  <c r="DB7" i="5"/>
  <c r="CG7" i="5"/>
  <c r="CW7" i="5"/>
  <c r="CH7" i="5"/>
  <c r="CX7" i="5"/>
  <c r="BZ7" i="5"/>
  <c r="CP7" i="5"/>
  <c r="BY7" i="5"/>
  <c r="CO7" i="5"/>
  <c r="BU7" i="5"/>
  <c r="BV7" i="5"/>
  <c r="BR7" i="5"/>
  <c r="BS30" i="5"/>
  <c r="BW30" i="5"/>
  <c r="CA30" i="5"/>
  <c r="CE30" i="5"/>
  <c r="CI30" i="5"/>
  <c r="CM30" i="5"/>
  <c r="CQ30" i="5"/>
  <c r="CU30" i="5"/>
  <c r="CY30" i="5"/>
  <c r="DC30" i="5"/>
  <c r="BV30" i="5"/>
  <c r="BZ30" i="5"/>
  <c r="CD30" i="5"/>
  <c r="CH30" i="5"/>
  <c r="CL30" i="5"/>
  <c r="CP30" i="5"/>
  <c r="CT30" i="5"/>
  <c r="CX30" i="5"/>
  <c r="DB30" i="5"/>
  <c r="BY30" i="5"/>
  <c r="CG30" i="5"/>
  <c r="CO30" i="5"/>
  <c r="CW30" i="5"/>
  <c r="BT30" i="5"/>
  <c r="CJ30" i="5"/>
  <c r="CZ30" i="5"/>
  <c r="BU30" i="5"/>
  <c r="CK30" i="5"/>
  <c r="DA30" i="5"/>
  <c r="BX30" i="5"/>
  <c r="CF30" i="5"/>
  <c r="CN30" i="5"/>
  <c r="CV30" i="5"/>
  <c r="DD30" i="5"/>
  <c r="CB30" i="5"/>
  <c r="CR30" i="5"/>
  <c r="CC30" i="5"/>
  <c r="CS30" i="5"/>
  <c r="BR30" i="5"/>
  <c r="BS26" i="5"/>
  <c r="BW26" i="5"/>
  <c r="CA26" i="5"/>
  <c r="CE26" i="5"/>
  <c r="CI26" i="5"/>
  <c r="CM26" i="5"/>
  <c r="CQ26" i="5"/>
  <c r="CU26" i="5"/>
  <c r="CY26" i="5"/>
  <c r="DC26" i="5"/>
  <c r="BV26" i="5"/>
  <c r="BZ26" i="5"/>
  <c r="CD26" i="5"/>
  <c r="CH26" i="5"/>
  <c r="CL26" i="5"/>
  <c r="CP26" i="5"/>
  <c r="CT26" i="5"/>
  <c r="CX26" i="5"/>
  <c r="DB26" i="5"/>
  <c r="BY26" i="5"/>
  <c r="CG26" i="5"/>
  <c r="CO26" i="5"/>
  <c r="CW26" i="5"/>
  <c r="CB26" i="5"/>
  <c r="CZ26" i="5"/>
  <c r="BX26" i="5"/>
  <c r="CF26" i="5"/>
  <c r="CN26" i="5"/>
  <c r="CV26" i="5"/>
  <c r="DD26" i="5"/>
  <c r="BT26" i="5"/>
  <c r="CJ26" i="5"/>
  <c r="CR26" i="5"/>
  <c r="BU26" i="5"/>
  <c r="CC26" i="5"/>
  <c r="CK26" i="5"/>
  <c r="CS26" i="5"/>
  <c r="DA26" i="5"/>
  <c r="BR26" i="5"/>
  <c r="BS18" i="5"/>
  <c r="BW18" i="5"/>
  <c r="CA18" i="5"/>
  <c r="CE18" i="5"/>
  <c r="CI18" i="5"/>
  <c r="CM18" i="5"/>
  <c r="CQ18" i="5"/>
  <c r="CU18" i="5"/>
  <c r="CY18" i="5"/>
  <c r="DC18" i="5"/>
  <c r="BZ18" i="5"/>
  <c r="CF18" i="5"/>
  <c r="CK18" i="5"/>
  <c r="CP18" i="5"/>
  <c r="CV18" i="5"/>
  <c r="DA18" i="5"/>
  <c r="BV18" i="5"/>
  <c r="CB18" i="5"/>
  <c r="BT18" i="5"/>
  <c r="BY18" i="5"/>
  <c r="CD18" i="5"/>
  <c r="CJ18" i="5"/>
  <c r="CO18" i="5"/>
  <c r="CT18" i="5"/>
  <c r="CZ18" i="5"/>
  <c r="CC18" i="5"/>
  <c r="CN18" i="5"/>
  <c r="CX18" i="5"/>
  <c r="CR18" i="5"/>
  <c r="BX18" i="5"/>
  <c r="CL18" i="5"/>
  <c r="CW18" i="5"/>
  <c r="CG18" i="5"/>
  <c r="DB18" i="5"/>
  <c r="CH18" i="5"/>
  <c r="CS18" i="5"/>
  <c r="DD18" i="5"/>
  <c r="BU18" i="5"/>
  <c r="BR18" i="5"/>
  <c r="BT14" i="5"/>
  <c r="BX14" i="5"/>
  <c r="CB14" i="5"/>
  <c r="CF14" i="5"/>
  <c r="CJ14" i="5"/>
  <c r="CN14" i="5"/>
  <c r="CR14" i="5"/>
  <c r="CV14" i="5"/>
  <c r="CZ14" i="5"/>
  <c r="DD14" i="5"/>
  <c r="BZ14" i="5"/>
  <c r="CE14" i="5"/>
  <c r="CK14" i="5"/>
  <c r="CP14" i="5"/>
  <c r="CU14" i="5"/>
  <c r="DA14" i="5"/>
  <c r="BW14" i="5"/>
  <c r="CD14" i="5"/>
  <c r="CL14" i="5"/>
  <c r="CS14" i="5"/>
  <c r="CY14" i="5"/>
  <c r="BY14" i="5"/>
  <c r="CG14" i="5"/>
  <c r="CM14" i="5"/>
  <c r="CT14" i="5"/>
  <c r="DB14" i="5"/>
  <c r="BV14" i="5"/>
  <c r="CC14" i="5"/>
  <c r="CI14" i="5"/>
  <c r="CQ14" i="5"/>
  <c r="CX14" i="5"/>
  <c r="CH14" i="5"/>
  <c r="CA14" i="5"/>
  <c r="DC14" i="5"/>
  <c r="CO14" i="5"/>
  <c r="BS14" i="5"/>
  <c r="CW14" i="5"/>
  <c r="BU14" i="5"/>
  <c r="BR14" i="5"/>
  <c r="BT10" i="5"/>
  <c r="BX10" i="5"/>
  <c r="CB10" i="5"/>
  <c r="CF10" i="5"/>
  <c r="CJ10" i="5"/>
  <c r="CN10" i="5"/>
  <c r="CR10" i="5"/>
  <c r="CV10" i="5"/>
  <c r="CZ10" i="5"/>
  <c r="DD10" i="5"/>
  <c r="BS10" i="5"/>
  <c r="BW10" i="5"/>
  <c r="CA10" i="5"/>
  <c r="CE10" i="5"/>
  <c r="CI10" i="5"/>
  <c r="CM10" i="5"/>
  <c r="CQ10" i="5"/>
  <c r="CU10" i="5"/>
  <c r="CY10" i="5"/>
  <c r="DC10" i="5"/>
  <c r="CC10" i="5"/>
  <c r="CK10" i="5"/>
  <c r="CS10" i="5"/>
  <c r="DA10" i="5"/>
  <c r="BV10" i="5"/>
  <c r="CD10" i="5"/>
  <c r="CL10" i="5"/>
  <c r="CT10" i="5"/>
  <c r="DB10" i="5"/>
  <c r="BY10" i="5"/>
  <c r="CO10" i="5"/>
  <c r="BZ10" i="5"/>
  <c r="CP10" i="5"/>
  <c r="CH10" i="5"/>
  <c r="CX10" i="5"/>
  <c r="CG10" i="5"/>
  <c r="CW10" i="5"/>
  <c r="BU10" i="5"/>
  <c r="BR10" i="5"/>
  <c r="BT6" i="5"/>
  <c r="BX6" i="5"/>
  <c r="CB6" i="5"/>
  <c r="CF6" i="5"/>
  <c r="CJ6" i="5"/>
  <c r="CN6" i="5"/>
  <c r="CR6" i="5"/>
  <c r="CV6" i="5"/>
  <c r="CZ6" i="5"/>
  <c r="DD6" i="5"/>
  <c r="BS6" i="5"/>
  <c r="BW6" i="5"/>
  <c r="CA6" i="5"/>
  <c r="CE6" i="5"/>
  <c r="CI6" i="5"/>
  <c r="CM6" i="5"/>
  <c r="CQ6" i="5"/>
  <c r="CU6" i="5"/>
  <c r="CY6" i="5"/>
  <c r="DC6" i="5"/>
  <c r="CC6" i="5"/>
  <c r="CK6" i="5"/>
  <c r="CS6" i="5"/>
  <c r="DA6" i="5"/>
  <c r="CD6" i="5"/>
  <c r="CL6" i="5"/>
  <c r="CT6" i="5"/>
  <c r="DB6" i="5"/>
  <c r="BY6" i="5"/>
  <c r="CO6" i="5"/>
  <c r="BZ6" i="5"/>
  <c r="CP6" i="5"/>
  <c r="CH6" i="5"/>
  <c r="CX6" i="5"/>
  <c r="CG6" i="5"/>
  <c r="CW6" i="5"/>
  <c r="BV6" i="5"/>
  <c r="BU6" i="5"/>
  <c r="BR6" i="5"/>
  <c r="BS29" i="5"/>
  <c r="BW29" i="5"/>
  <c r="CA29" i="5"/>
  <c r="CE29" i="5"/>
  <c r="CI29" i="5"/>
  <c r="CM29" i="5"/>
  <c r="CQ29" i="5"/>
  <c r="CU29" i="5"/>
  <c r="CY29" i="5"/>
  <c r="DC29" i="5"/>
  <c r="BV29" i="5"/>
  <c r="BZ29" i="5"/>
  <c r="CD29" i="5"/>
  <c r="CH29" i="5"/>
  <c r="CL29" i="5"/>
  <c r="CP29" i="5"/>
  <c r="CT29" i="5"/>
  <c r="CX29" i="5"/>
  <c r="DB29" i="5"/>
  <c r="BY29" i="5"/>
  <c r="CG29" i="5"/>
  <c r="CO29" i="5"/>
  <c r="CW29" i="5"/>
  <c r="CB29" i="5"/>
  <c r="CR29" i="5"/>
  <c r="CK29" i="5"/>
  <c r="BX29" i="5"/>
  <c r="CF29" i="5"/>
  <c r="CN29" i="5"/>
  <c r="CV29" i="5"/>
  <c r="DD29" i="5"/>
  <c r="BT29" i="5"/>
  <c r="CJ29" i="5"/>
  <c r="CZ29" i="5"/>
  <c r="CC29" i="5"/>
  <c r="CS29" i="5"/>
  <c r="DA29" i="5"/>
  <c r="BU29" i="5"/>
  <c r="BR29" i="5"/>
  <c r="BS25" i="5"/>
  <c r="BW25" i="5"/>
  <c r="CA25" i="5"/>
  <c r="CE25" i="5"/>
  <c r="CI25" i="5"/>
  <c r="CM25" i="5"/>
  <c r="CQ25" i="5"/>
  <c r="CU25" i="5"/>
  <c r="CY25" i="5"/>
  <c r="DC25" i="5"/>
  <c r="BV25" i="5"/>
  <c r="BZ25" i="5"/>
  <c r="CD25" i="5"/>
  <c r="CH25" i="5"/>
  <c r="CL25" i="5"/>
  <c r="CP25" i="5"/>
  <c r="CT25" i="5"/>
  <c r="CX25" i="5"/>
  <c r="DB25" i="5"/>
  <c r="BY25" i="5"/>
  <c r="CG25" i="5"/>
  <c r="CO25" i="5"/>
  <c r="CW25" i="5"/>
  <c r="BT25" i="5"/>
  <c r="CJ25" i="5"/>
  <c r="CZ25" i="5"/>
  <c r="BX25" i="5"/>
  <c r="CF25" i="5"/>
  <c r="CN25" i="5"/>
  <c r="CV25" i="5"/>
  <c r="DD25" i="5"/>
  <c r="CB25" i="5"/>
  <c r="CR25" i="5"/>
  <c r="CC25" i="5"/>
  <c r="CK25" i="5"/>
  <c r="CS25" i="5"/>
  <c r="DA25" i="5"/>
  <c r="BU25" i="5"/>
  <c r="BR25" i="5"/>
  <c r="BS21" i="5"/>
  <c r="BW21" i="5"/>
  <c r="CA21" i="5"/>
  <c r="CE21" i="5"/>
  <c r="CI21" i="5"/>
  <c r="CM21" i="5"/>
  <c r="CQ21" i="5"/>
  <c r="CU21" i="5"/>
  <c r="CY21" i="5"/>
  <c r="DC21" i="5"/>
  <c r="BV21" i="5"/>
  <c r="BZ21" i="5"/>
  <c r="CD21" i="5"/>
  <c r="CH21" i="5"/>
  <c r="CL21" i="5"/>
  <c r="CP21" i="5"/>
  <c r="CT21" i="5"/>
  <c r="CX21" i="5"/>
  <c r="DB21" i="5"/>
  <c r="BY21" i="5"/>
  <c r="CG21" i="5"/>
  <c r="CO21" i="5"/>
  <c r="CW21" i="5"/>
  <c r="CB21" i="5"/>
  <c r="CR21" i="5"/>
  <c r="BX21" i="5"/>
  <c r="CF21" i="5"/>
  <c r="CN21" i="5"/>
  <c r="CV21" i="5"/>
  <c r="DD21" i="5"/>
  <c r="BT21" i="5"/>
  <c r="CJ21" i="5"/>
  <c r="CZ21" i="5"/>
  <c r="CC21" i="5"/>
  <c r="CK21" i="5"/>
  <c r="CS21" i="5"/>
  <c r="DA21" i="5"/>
  <c r="BU21" i="5"/>
  <c r="BR21" i="5"/>
  <c r="BT17" i="5"/>
  <c r="BW17" i="5"/>
  <c r="CA17" i="5"/>
  <c r="CE17" i="5"/>
  <c r="CI17" i="5"/>
  <c r="CM17" i="5"/>
  <c r="CQ17" i="5"/>
  <c r="CU17" i="5"/>
  <c r="CY17" i="5"/>
  <c r="DC17" i="5"/>
  <c r="BX17" i="5"/>
  <c r="CC17" i="5"/>
  <c r="CH17" i="5"/>
  <c r="CN17" i="5"/>
  <c r="CS17" i="5"/>
  <c r="CX17" i="5"/>
  <c r="DD17" i="5"/>
  <c r="BS17" i="5"/>
  <c r="BY17" i="5"/>
  <c r="CD17" i="5"/>
  <c r="CJ17" i="5"/>
  <c r="CO17" i="5"/>
  <c r="CT17" i="5"/>
  <c r="CZ17" i="5"/>
  <c r="BV17" i="5"/>
  <c r="CB17" i="5"/>
  <c r="CG17" i="5"/>
  <c r="CL17" i="5"/>
  <c r="CR17" i="5"/>
  <c r="CW17" i="5"/>
  <c r="DB17" i="5"/>
  <c r="BZ17" i="5"/>
  <c r="CV17" i="5"/>
  <c r="DA17" i="5"/>
  <c r="CP17" i="5"/>
  <c r="CF17" i="5"/>
  <c r="CK17" i="5"/>
  <c r="BU17" i="5"/>
  <c r="BR17" i="5"/>
  <c r="BT13" i="5"/>
  <c r="BX13" i="5"/>
  <c r="CB13" i="5"/>
  <c r="CF13" i="5"/>
  <c r="CJ13" i="5"/>
  <c r="CN13" i="5"/>
  <c r="CR13" i="5"/>
  <c r="CV13" i="5"/>
  <c r="CZ13" i="5"/>
  <c r="DD13" i="5"/>
  <c r="BW13" i="5"/>
  <c r="CC13" i="5"/>
  <c r="CH13" i="5"/>
  <c r="CM13" i="5"/>
  <c r="CS13" i="5"/>
  <c r="CX13" i="5"/>
  <c r="DC13" i="5"/>
  <c r="CA13" i="5"/>
  <c r="CI13" i="5"/>
  <c r="CP13" i="5"/>
  <c r="CW13" i="5"/>
  <c r="BV13" i="5"/>
  <c r="CD13" i="5"/>
  <c r="CK13" i="5"/>
  <c r="CQ13" i="5"/>
  <c r="CY13" i="5"/>
  <c r="BS13" i="5"/>
  <c r="BZ13" i="5"/>
  <c r="CG13" i="5"/>
  <c r="CO13" i="5"/>
  <c r="CU13" i="5"/>
  <c r="DB13" i="5"/>
  <c r="CT13" i="5"/>
  <c r="DA13" i="5"/>
  <c r="CE13" i="5"/>
  <c r="CL13" i="5"/>
  <c r="BY13" i="5"/>
  <c r="BU13" i="5"/>
  <c r="BR13" i="5"/>
  <c r="BT9" i="5"/>
  <c r="BX9" i="5"/>
  <c r="CB9" i="5"/>
  <c r="CF9" i="5"/>
  <c r="CJ9" i="5"/>
  <c r="CN9" i="5"/>
  <c r="CR9" i="5"/>
  <c r="CV9" i="5"/>
  <c r="CZ9" i="5"/>
  <c r="DD9" i="5"/>
  <c r="BS9" i="5"/>
  <c r="BW9" i="5"/>
  <c r="CA9" i="5"/>
  <c r="CE9" i="5"/>
  <c r="CI9" i="5"/>
  <c r="CM9" i="5"/>
  <c r="CQ9" i="5"/>
  <c r="CU9" i="5"/>
  <c r="CY9" i="5"/>
  <c r="DC9" i="5"/>
  <c r="CC9" i="5"/>
  <c r="CK9" i="5"/>
  <c r="CS9" i="5"/>
  <c r="DA9" i="5"/>
  <c r="BV9" i="5"/>
  <c r="CD9" i="5"/>
  <c r="CL9" i="5"/>
  <c r="CT9" i="5"/>
  <c r="DB9" i="5"/>
  <c r="CG9" i="5"/>
  <c r="CW9" i="5"/>
  <c r="CH9" i="5"/>
  <c r="CX9" i="5"/>
  <c r="BZ9" i="5"/>
  <c r="CP9" i="5"/>
  <c r="CO9" i="5"/>
  <c r="BY9" i="5"/>
  <c r="BU9" i="5"/>
  <c r="BR9" i="5"/>
  <c r="BT5" i="5"/>
  <c r="BX5" i="5"/>
  <c r="CB5" i="5"/>
  <c r="CF5" i="5"/>
  <c r="CJ5" i="5"/>
  <c r="CN5" i="5"/>
  <c r="CR5" i="5"/>
  <c r="CV5" i="5"/>
  <c r="CZ5" i="5"/>
  <c r="DD5" i="5"/>
  <c r="BS5" i="5"/>
  <c r="BW5" i="5"/>
  <c r="CA5" i="5"/>
  <c r="CE5" i="5"/>
  <c r="CI5" i="5"/>
  <c r="CM5" i="5"/>
  <c r="CQ5" i="5"/>
  <c r="CU5" i="5"/>
  <c r="CY5" i="5"/>
  <c r="DC5" i="5"/>
  <c r="CC5" i="5"/>
  <c r="CK5" i="5"/>
  <c r="CS5" i="5"/>
  <c r="DA5" i="5"/>
  <c r="BV5" i="5"/>
  <c r="CD5" i="5"/>
  <c r="CL5" i="5"/>
  <c r="CT5" i="5"/>
  <c r="DB5" i="5"/>
  <c r="CG5" i="5"/>
  <c r="CW5" i="5"/>
  <c r="CH5" i="5"/>
  <c r="CX5" i="5"/>
  <c r="BZ5" i="5"/>
  <c r="CP5" i="5"/>
  <c r="CO5" i="5"/>
  <c r="BY5" i="5"/>
  <c r="BU5" i="5"/>
  <c r="BR5" i="5"/>
  <c r="BS28" i="5"/>
  <c r="BW28" i="5"/>
  <c r="CA28" i="5"/>
  <c r="CE28" i="5"/>
  <c r="CI28" i="5"/>
  <c r="CM28" i="5"/>
  <c r="CQ28" i="5"/>
  <c r="CU28" i="5"/>
  <c r="CY28" i="5"/>
  <c r="DC28" i="5"/>
  <c r="BV28" i="5"/>
  <c r="BZ28" i="5"/>
  <c r="CD28" i="5"/>
  <c r="CH28" i="5"/>
  <c r="CL28" i="5"/>
  <c r="CP28" i="5"/>
  <c r="CT28" i="5"/>
  <c r="CX28" i="5"/>
  <c r="DB28" i="5"/>
  <c r="BY28" i="5"/>
  <c r="CG28" i="5"/>
  <c r="CO28" i="5"/>
  <c r="CW28" i="5"/>
  <c r="BT28" i="5"/>
  <c r="CJ28" i="5"/>
  <c r="CZ28" i="5"/>
  <c r="BU28" i="5"/>
  <c r="BX28" i="5"/>
  <c r="CF28" i="5"/>
  <c r="CN28" i="5"/>
  <c r="CV28" i="5"/>
  <c r="DD28" i="5"/>
  <c r="CB28" i="5"/>
  <c r="CR28" i="5"/>
  <c r="CC28" i="5"/>
  <c r="CK28" i="5"/>
  <c r="CS28" i="5"/>
  <c r="DA28" i="5"/>
  <c r="BR28" i="5"/>
  <c r="BS24" i="5"/>
  <c r="BW24" i="5"/>
  <c r="CA24" i="5"/>
  <c r="CE24" i="5"/>
  <c r="CI24" i="5"/>
  <c r="CM24" i="5"/>
  <c r="CQ24" i="5"/>
  <c r="CU24" i="5"/>
  <c r="CY24" i="5"/>
  <c r="DC24" i="5"/>
  <c r="BV24" i="5"/>
  <c r="BZ24" i="5"/>
  <c r="CD24" i="5"/>
  <c r="CH24" i="5"/>
  <c r="CL24" i="5"/>
  <c r="CP24" i="5"/>
  <c r="CT24" i="5"/>
  <c r="CX24" i="5"/>
  <c r="DB24" i="5"/>
  <c r="BY24" i="5"/>
  <c r="CG24" i="5"/>
  <c r="CO24" i="5"/>
  <c r="CW24" i="5"/>
  <c r="CB24" i="5"/>
  <c r="CR24" i="5"/>
  <c r="BX24" i="5"/>
  <c r="CF24" i="5"/>
  <c r="CN24" i="5"/>
  <c r="CV24" i="5"/>
  <c r="DD24" i="5"/>
  <c r="BT24" i="5"/>
  <c r="CJ24" i="5"/>
  <c r="CZ24" i="5"/>
  <c r="BU24" i="5"/>
  <c r="CC24" i="5"/>
  <c r="CK24" i="5"/>
  <c r="CS24" i="5"/>
  <c r="DA24" i="5"/>
  <c r="BR24" i="5"/>
  <c r="BS20" i="5"/>
  <c r="BW20" i="5"/>
  <c r="CA20" i="5"/>
  <c r="BZ20" i="5"/>
  <c r="CE20" i="5"/>
  <c r="CI20" i="5"/>
  <c r="CM20" i="5"/>
  <c r="CQ20" i="5"/>
  <c r="CU20" i="5"/>
  <c r="CY20" i="5"/>
  <c r="DC20" i="5"/>
  <c r="BT20" i="5"/>
  <c r="BY20" i="5"/>
  <c r="CD20" i="5"/>
  <c r="CH20" i="5"/>
  <c r="CL20" i="5"/>
  <c r="CP20" i="5"/>
  <c r="CT20" i="5"/>
  <c r="CX20" i="5"/>
  <c r="DB20" i="5"/>
  <c r="BX20" i="5"/>
  <c r="CG20" i="5"/>
  <c r="CO20" i="5"/>
  <c r="CW20" i="5"/>
  <c r="CJ20" i="5"/>
  <c r="CZ20" i="5"/>
  <c r="BV20" i="5"/>
  <c r="CF20" i="5"/>
  <c r="CN20" i="5"/>
  <c r="CV20" i="5"/>
  <c r="DD20" i="5"/>
  <c r="CB20" i="5"/>
  <c r="CR20" i="5"/>
  <c r="CC20" i="5"/>
  <c r="CK20" i="5"/>
  <c r="CS20" i="5"/>
  <c r="DA20" i="5"/>
  <c r="BU20" i="5"/>
  <c r="BR20" i="5"/>
  <c r="BT16" i="5"/>
  <c r="BX16" i="5"/>
  <c r="CB16" i="5"/>
  <c r="CF16" i="5"/>
  <c r="CJ16" i="5"/>
  <c r="CN16" i="5"/>
  <c r="CR16" i="5"/>
  <c r="CV16" i="5"/>
  <c r="CZ16" i="5"/>
  <c r="DD16" i="5"/>
  <c r="BZ16" i="5"/>
  <c r="CE16" i="5"/>
  <c r="CK16" i="5"/>
  <c r="CP16" i="5"/>
  <c r="CU16" i="5"/>
  <c r="DA16" i="5"/>
  <c r="BV16" i="5"/>
  <c r="CC16" i="5"/>
  <c r="CI16" i="5"/>
  <c r="CQ16" i="5"/>
  <c r="CX16" i="5"/>
  <c r="BW16" i="5"/>
  <c r="CD16" i="5"/>
  <c r="CL16" i="5"/>
  <c r="CS16" i="5"/>
  <c r="CY16" i="5"/>
  <c r="BS16" i="5"/>
  <c r="CA16" i="5"/>
  <c r="CH16" i="5"/>
  <c r="CO16" i="5"/>
  <c r="CW16" i="5"/>
  <c r="DC16" i="5"/>
  <c r="CM16" i="5"/>
  <c r="CT16" i="5"/>
  <c r="CG16" i="5"/>
  <c r="BY16" i="5"/>
  <c r="DB16" i="5"/>
  <c r="BU16" i="5"/>
  <c r="BR16" i="5"/>
  <c r="BT12" i="5"/>
  <c r="BX12" i="5"/>
  <c r="CB12" i="5"/>
  <c r="CF12" i="5"/>
  <c r="CJ12" i="5"/>
  <c r="CN12" i="5"/>
  <c r="CR12" i="5"/>
  <c r="CV12" i="5"/>
  <c r="CZ12" i="5"/>
  <c r="DD12" i="5"/>
  <c r="BS12" i="5"/>
  <c r="BW12" i="5"/>
  <c r="CA12" i="5"/>
  <c r="CE12" i="5"/>
  <c r="CI12" i="5"/>
  <c r="CM12" i="5"/>
  <c r="CQ12" i="5"/>
  <c r="CU12" i="5"/>
  <c r="BV12" i="5"/>
  <c r="CD12" i="5"/>
  <c r="CL12" i="5"/>
  <c r="CT12" i="5"/>
  <c r="DA12" i="5"/>
  <c r="BY12" i="5"/>
  <c r="CH12" i="5"/>
  <c r="CS12" i="5"/>
  <c r="DB12" i="5"/>
  <c r="BZ12" i="5"/>
  <c r="CK12" i="5"/>
  <c r="CW12" i="5"/>
  <c r="DC12" i="5"/>
  <c r="CG12" i="5"/>
  <c r="CP12" i="5"/>
  <c r="CY12" i="5"/>
  <c r="CO12" i="5"/>
  <c r="CX12" i="5"/>
  <c r="CC12" i="5"/>
  <c r="BU12" i="5"/>
  <c r="BR12" i="5"/>
  <c r="BT8" i="5"/>
  <c r="BX8" i="5"/>
  <c r="CB8" i="5"/>
  <c r="CF8" i="5"/>
  <c r="CJ8" i="5"/>
  <c r="CN8" i="5"/>
  <c r="CR8" i="5"/>
  <c r="CV8" i="5"/>
  <c r="CZ8" i="5"/>
  <c r="DD8" i="5"/>
  <c r="BS8" i="5"/>
  <c r="BW8" i="5"/>
  <c r="CA8" i="5"/>
  <c r="CE8" i="5"/>
  <c r="CI8" i="5"/>
  <c r="CM8" i="5"/>
  <c r="CQ8" i="5"/>
  <c r="CU8" i="5"/>
  <c r="CY8" i="5"/>
  <c r="DC8" i="5"/>
  <c r="CC8" i="5"/>
  <c r="CK8" i="5"/>
  <c r="CS8" i="5"/>
  <c r="DA8" i="5"/>
  <c r="BV8" i="5"/>
  <c r="CD8" i="5"/>
  <c r="CL8" i="5"/>
  <c r="CT8" i="5"/>
  <c r="DB8" i="5"/>
  <c r="BY8" i="5"/>
  <c r="CO8" i="5"/>
  <c r="BZ8" i="5"/>
  <c r="CP8" i="5"/>
  <c r="CH8" i="5"/>
  <c r="CX8" i="5"/>
  <c r="CW8" i="5"/>
  <c r="CG8" i="5"/>
  <c r="BU8" i="5"/>
  <c r="BR8" i="5"/>
  <c r="BS22" i="5"/>
  <c r="BW22" i="5"/>
  <c r="CA22" i="5"/>
  <c r="CE22" i="5"/>
  <c r="CI22" i="5"/>
  <c r="CM22" i="5"/>
  <c r="CQ22" i="5"/>
  <c r="CU22" i="5"/>
  <c r="CY22" i="5"/>
  <c r="DC22" i="5"/>
  <c r="BV22" i="5"/>
  <c r="BZ22" i="5"/>
  <c r="CD22" i="5"/>
  <c r="CH22" i="5"/>
  <c r="CL22" i="5"/>
  <c r="CP22" i="5"/>
  <c r="CT22" i="5"/>
  <c r="CX22" i="5"/>
  <c r="DB22" i="5"/>
  <c r="BY22" i="5"/>
  <c r="CG22" i="5"/>
  <c r="CO22" i="5"/>
  <c r="CW22" i="5"/>
  <c r="CB22" i="5"/>
  <c r="CR22" i="5"/>
  <c r="BX22" i="5"/>
  <c r="CF22" i="5"/>
  <c r="CN22" i="5"/>
  <c r="CV22" i="5"/>
  <c r="DD22" i="5"/>
  <c r="BT22" i="5"/>
  <c r="CJ22" i="5"/>
  <c r="CZ22" i="5"/>
  <c r="BU22" i="5"/>
  <c r="CC22" i="5"/>
  <c r="CK22" i="5"/>
  <c r="CS22" i="5"/>
  <c r="DA22" i="5"/>
  <c r="BR22" i="5"/>
  <c r="N29" i="5"/>
  <c r="N21" i="5"/>
  <c r="N13" i="5"/>
  <c r="N5" i="5"/>
  <c r="N28" i="5"/>
  <c r="N24" i="5"/>
  <c r="N20" i="5"/>
  <c r="N16" i="5"/>
  <c r="N12" i="5"/>
  <c r="N8" i="5"/>
  <c r="N23" i="5"/>
  <c r="N19" i="5"/>
  <c r="N15" i="5"/>
  <c r="N11" i="5"/>
  <c r="N7" i="5"/>
  <c r="N30" i="5"/>
  <c r="N26" i="5"/>
  <c r="N22" i="5"/>
  <c r="N18" i="5"/>
  <c r="N14" i="5"/>
  <c r="N10" i="5"/>
  <c r="N6" i="5"/>
  <c r="N27" i="5"/>
  <c r="N25" i="5"/>
  <c r="N17" i="5"/>
  <c r="N9" i="5"/>
  <c r="U32" i="5"/>
  <c r="U33" i="5"/>
  <c r="U39" i="5" a="1"/>
  <c r="U39" i="5" s="1"/>
  <c r="DG38" i="5" l="1"/>
  <c r="DK38" i="5"/>
  <c r="DE38" i="5"/>
  <c r="DJ38" i="5"/>
  <c r="DJ33" i="5"/>
  <c r="DJ39" i="5" a="1"/>
  <c r="DJ39" i="5" s="1"/>
  <c r="DG32" i="5"/>
  <c r="DG33" i="5"/>
  <c r="DG39" i="5" a="1"/>
  <c r="DG39" i="5" s="1"/>
  <c r="DF32" i="5"/>
  <c r="DF33" i="5"/>
  <c r="DF39" i="5" a="1"/>
  <c r="DF39" i="5" s="1"/>
  <c r="DF38" i="5"/>
  <c r="DI39" i="5" a="1"/>
  <c r="DI39" i="5" s="1"/>
  <c r="DI32" i="5"/>
  <c r="DI33" i="5"/>
  <c r="DJ32" i="5"/>
  <c r="DH38" i="5"/>
  <c r="DH33" i="5"/>
  <c r="DH32" i="5"/>
  <c r="DH39" i="5" a="1"/>
  <c r="DH39" i="5" s="1"/>
  <c r="DI38" i="5"/>
  <c r="DK33" i="5"/>
  <c r="DK39" i="5" a="1"/>
  <c r="DK39" i="5" s="1"/>
  <c r="DK32" i="5"/>
  <c r="DE39" i="5" a="1"/>
  <c r="DE39" i="5" s="1"/>
  <c r="DE32" i="5"/>
  <c r="DE33" i="5"/>
  <c r="T39" i="5" a="1"/>
  <c r="T39" i="5" s="1"/>
  <c r="T32" i="5"/>
  <c r="T33" i="5"/>
  <c r="AI3" i="16"/>
  <c r="AJ3" i="16"/>
  <c r="AK3" i="16"/>
  <c r="AL3" i="16"/>
  <c r="AM3" i="16"/>
  <c r="AN3" i="16"/>
  <c r="AO3" i="16"/>
  <c r="AP3" i="16"/>
  <c r="AQ3" i="16"/>
  <c r="AR3" i="16"/>
  <c r="AS3" i="16"/>
  <c r="AT3" i="16"/>
  <c r="AU3" i="16"/>
  <c r="AV3" i="16"/>
  <c r="AW3" i="16"/>
  <c r="AX3" i="16"/>
  <c r="AH3" i="16"/>
  <c r="AI4" i="16"/>
  <c r="AJ4" i="16"/>
  <c r="AK4" i="16"/>
  <c r="AL4" i="16"/>
  <c r="AM4" i="16"/>
  <c r="AN4" i="16"/>
  <c r="AO4" i="16"/>
  <c r="AP4" i="16"/>
  <c r="AQ4" i="16"/>
  <c r="AR4" i="16"/>
  <c r="AS4" i="16"/>
  <c r="AT4" i="16"/>
  <c r="AU4" i="16"/>
  <c r="AV4" i="16"/>
  <c r="AW4" i="16"/>
  <c r="AX4" i="16"/>
  <c r="BB4" i="16"/>
  <c r="BB32" i="16" s="1"/>
  <c r="AH4" i="16"/>
  <c r="BT3" i="5"/>
  <c r="BU3" i="5"/>
  <c r="BV3" i="5"/>
  <c r="BW3" i="5"/>
  <c r="BX3" i="5"/>
  <c r="BY3" i="5"/>
  <c r="BZ3" i="5"/>
  <c r="CA3" i="5"/>
  <c r="CB3" i="5"/>
  <c r="CC3" i="5"/>
  <c r="CD3" i="5"/>
  <c r="CE3" i="5"/>
  <c r="CF3" i="5"/>
  <c r="CG3" i="5"/>
  <c r="CH3" i="5"/>
  <c r="CI3" i="5"/>
  <c r="CJ3" i="5"/>
  <c r="CK3" i="5"/>
  <c r="CL3" i="5"/>
  <c r="CM3" i="5"/>
  <c r="CN3" i="5"/>
  <c r="CO3" i="5"/>
  <c r="CP3" i="5"/>
  <c r="CQ3" i="5"/>
  <c r="CR3" i="5"/>
  <c r="CS3" i="5"/>
  <c r="CT3" i="5"/>
  <c r="CU3" i="5"/>
  <c r="CV3" i="5"/>
  <c r="CW3" i="5"/>
  <c r="CX3" i="5"/>
  <c r="CY3" i="5"/>
  <c r="CZ3" i="5"/>
  <c r="DA3" i="5"/>
  <c r="DB3" i="5"/>
  <c r="DC3" i="5"/>
  <c r="DD3" i="5"/>
  <c r="BS3" i="5"/>
  <c r="BR3" i="5"/>
  <c r="CS4" i="5"/>
  <c r="CW4" i="5"/>
  <c r="DA4" i="5"/>
  <c r="BF3" i="15"/>
  <c r="BG3" i="15"/>
  <c r="BH3" i="15"/>
  <c r="BI3" i="15"/>
  <c r="BJ3" i="15"/>
  <c r="BK3" i="15"/>
  <c r="BL3" i="15"/>
  <c r="BM3" i="15"/>
  <c r="BN3" i="15"/>
  <c r="BO3" i="15"/>
  <c r="BP3" i="15"/>
  <c r="BQ3" i="15"/>
  <c r="BR3" i="15"/>
  <c r="BS3" i="15"/>
  <c r="BT3" i="15"/>
  <c r="BU3" i="15"/>
  <c r="BV3" i="15"/>
  <c r="BW3" i="15"/>
  <c r="BX3" i="15"/>
  <c r="BY3" i="15"/>
  <c r="BZ3" i="15"/>
  <c r="CA3" i="15"/>
  <c r="CB3" i="15"/>
  <c r="CC3" i="15"/>
  <c r="CD3" i="15"/>
  <c r="CE3" i="15"/>
  <c r="CF3" i="15"/>
  <c r="CG3" i="15"/>
  <c r="CH3" i="15"/>
  <c r="CI3" i="15"/>
  <c r="CJ3" i="15"/>
  <c r="CK3" i="15"/>
  <c r="CL3" i="15"/>
  <c r="CM3" i="15"/>
  <c r="CN3" i="15"/>
  <c r="CO3" i="15"/>
  <c r="CP3" i="15"/>
  <c r="BG4" i="15"/>
  <c r="BF4" i="15"/>
  <c r="BH4" i="15"/>
  <c r="BI4" i="15"/>
  <c r="BJ4" i="15"/>
  <c r="BK4" i="15"/>
  <c r="BL4" i="15"/>
  <c r="BM4" i="15"/>
  <c r="BN4" i="15"/>
  <c r="BO4" i="15"/>
  <c r="BP4" i="15"/>
  <c r="BQ4" i="15"/>
  <c r="BR4" i="15"/>
  <c r="BS4" i="15"/>
  <c r="BT4" i="15"/>
  <c r="BU4" i="15"/>
  <c r="BV4" i="15"/>
  <c r="BW4" i="15"/>
  <c r="BX4" i="15"/>
  <c r="BY4" i="15"/>
  <c r="BZ4" i="15"/>
  <c r="CA4" i="15"/>
  <c r="CB4" i="15"/>
  <c r="CC4" i="15"/>
  <c r="CD4" i="15"/>
  <c r="CE4" i="15"/>
  <c r="CF4" i="15"/>
  <c r="CG4" i="15"/>
  <c r="CH4" i="15"/>
  <c r="CI4" i="15"/>
  <c r="CJ4" i="15"/>
  <c r="CK4" i="15"/>
  <c r="CL4" i="15"/>
  <c r="CM4" i="15"/>
  <c r="CN4" i="15"/>
  <c r="CO4" i="15"/>
  <c r="CP4" i="15"/>
  <c r="BE4" i="15"/>
  <c r="BE3" i="15"/>
  <c r="BR4" i="5" l="1"/>
  <c r="DD4" i="5"/>
  <c r="CZ4" i="5"/>
  <c r="CV4" i="5"/>
  <c r="CR4" i="5"/>
  <c r="BS4" i="5"/>
  <c r="DC4" i="5"/>
  <c r="CY4" i="5"/>
  <c r="CU4" i="5"/>
  <c r="CA4" i="5"/>
  <c r="DB4" i="5"/>
  <c r="CX4" i="5"/>
  <c r="CT4" i="5"/>
  <c r="BT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BZ4" i="5"/>
  <c r="BY4" i="5"/>
  <c r="BX4" i="5"/>
  <c r="BW4" i="5"/>
  <c r="BV4" i="5"/>
  <c r="BU4" i="5"/>
  <c r="AN33" i="18" l="1"/>
  <c r="AO33" i="18"/>
  <c r="AP33" i="18"/>
  <c r="AQ33" i="18"/>
  <c r="AR33" i="18"/>
  <c r="AS33" i="18"/>
  <c r="AT33" i="18"/>
  <c r="AN34" i="18"/>
  <c r="AO34" i="18"/>
  <c r="AP34" i="18"/>
  <c r="AQ34" i="18"/>
  <c r="AR34" i="18"/>
  <c r="AS34" i="18"/>
  <c r="AT34" i="18"/>
  <c r="CJ32" i="15"/>
  <c r="AQ32" i="15"/>
  <c r="AR32" i="15"/>
  <c r="AS32" i="15"/>
  <c r="AT32" i="15"/>
  <c r="AU32" i="15"/>
  <c r="AV32" i="15"/>
  <c r="AW32" i="15"/>
  <c r="AQ33" i="15"/>
  <c r="AR33" i="15"/>
  <c r="AS33" i="15"/>
  <c r="AT33" i="15"/>
  <c r="AU33" i="15"/>
  <c r="AV33" i="15"/>
  <c r="AW33" i="15"/>
  <c r="BB32" i="5"/>
  <c r="BC32" i="5"/>
  <c r="BD32" i="5"/>
  <c r="BE32" i="5"/>
  <c r="BF32" i="5"/>
  <c r="BG32" i="5"/>
  <c r="BH32" i="5"/>
  <c r="BI32" i="5"/>
  <c r="BB33" i="5"/>
  <c r="BC33" i="5"/>
  <c r="BD33" i="5"/>
  <c r="BE33" i="5"/>
  <c r="BF33" i="5"/>
  <c r="BG33" i="5"/>
  <c r="BH33" i="5"/>
  <c r="BI33" i="5"/>
  <c r="CN33" i="15" l="1"/>
  <c r="CO33" i="15"/>
  <c r="CP33" i="15"/>
  <c r="CL33" i="15"/>
  <c r="CM32" i="15"/>
  <c r="CM33" i="15"/>
  <c r="CN32" i="15"/>
  <c r="CL32" i="15"/>
  <c r="CO32" i="15"/>
  <c r="CP32" i="15"/>
  <c r="CK33" i="15"/>
  <c r="CK32" i="15"/>
  <c r="CJ33" i="15"/>
  <c r="AK32" i="15" l="1"/>
  <c r="AL32" i="15"/>
  <c r="AM32" i="15"/>
  <c r="AN32" i="15"/>
  <c r="AO32" i="15"/>
  <c r="AP32" i="15"/>
  <c r="AK33" i="15"/>
  <c r="AL33" i="15"/>
  <c r="AM33" i="15"/>
  <c r="AN33" i="15"/>
  <c r="AO33" i="15"/>
  <c r="AP33" i="15"/>
  <c r="CH32" i="15" l="1"/>
  <c r="CH33" i="15"/>
  <c r="CE33" i="15"/>
  <c r="CF32" i="15"/>
  <c r="CD32" i="15"/>
  <c r="CD33" i="15"/>
  <c r="CI32" i="15"/>
  <c r="CF33" i="15"/>
  <c r="CG33" i="15"/>
  <c r="CG32" i="15"/>
  <c r="CI33" i="15"/>
  <c r="CE32" i="15"/>
  <c r="M32" i="15" l="1"/>
  <c r="N32" i="15"/>
  <c r="O32" i="15"/>
  <c r="P32" i="15"/>
  <c r="Q32" i="15"/>
  <c r="R32" i="15"/>
  <c r="S32" i="15"/>
  <c r="T32" i="15"/>
  <c r="U32" i="15"/>
  <c r="V32" i="15"/>
  <c r="W32" i="15"/>
  <c r="X32" i="15"/>
  <c r="Y32" i="15"/>
  <c r="Z32" i="15"/>
  <c r="AA32" i="15"/>
  <c r="AB32" i="15"/>
  <c r="AC32" i="15"/>
  <c r="AD32" i="15"/>
  <c r="AE32" i="15"/>
  <c r="AF32" i="15"/>
  <c r="AG32" i="15"/>
  <c r="AH32" i="15"/>
  <c r="AI32" i="15"/>
  <c r="AJ32" i="15"/>
  <c r="M33" i="15"/>
  <c r="N33" i="15"/>
  <c r="O33" i="15"/>
  <c r="P33" i="15"/>
  <c r="Q33" i="15"/>
  <c r="R33" i="15"/>
  <c r="S33" i="15"/>
  <c r="T33" i="15"/>
  <c r="U33" i="15"/>
  <c r="V33" i="15"/>
  <c r="W33" i="15"/>
  <c r="X33" i="15"/>
  <c r="Y33" i="15"/>
  <c r="Z33" i="15"/>
  <c r="AA33" i="15"/>
  <c r="AB33" i="15"/>
  <c r="AC33" i="15"/>
  <c r="AD33" i="15"/>
  <c r="AE33" i="15"/>
  <c r="AF33" i="15"/>
  <c r="AG33" i="15"/>
  <c r="AH33" i="15"/>
  <c r="AI33" i="15"/>
  <c r="AJ33" i="15"/>
  <c r="AQ32" i="5"/>
  <c r="AR32" i="5"/>
  <c r="AS32" i="5"/>
  <c r="AT32" i="5"/>
  <c r="AU32" i="5"/>
  <c r="AV32" i="5"/>
  <c r="AW32" i="5"/>
  <c r="AX32" i="5"/>
  <c r="AY32" i="5"/>
  <c r="AZ32" i="5"/>
  <c r="BA32" i="5"/>
  <c r="AQ33" i="5"/>
  <c r="AR33" i="5"/>
  <c r="AS33" i="5"/>
  <c r="AT33" i="5"/>
  <c r="AU33" i="5"/>
  <c r="AV33" i="5"/>
  <c r="AW33" i="5"/>
  <c r="AX33" i="5"/>
  <c r="AY33" i="5"/>
  <c r="AZ33" i="5"/>
  <c r="BA33" i="5"/>
  <c r="AP33" i="5" l="1"/>
  <c r="AP32" i="5"/>
  <c r="CC33" i="15"/>
  <c r="CC32" i="15"/>
  <c r="CB32" i="15"/>
  <c r="CB33" i="15"/>
  <c r="CA33" i="15"/>
  <c r="CA32" i="15"/>
  <c r="BZ32" i="15"/>
  <c r="BZ33" i="15"/>
  <c r="BY32" i="15"/>
  <c r="BY33" i="15"/>
  <c r="AO33" i="5" l="1"/>
  <c r="AO32" i="5"/>
  <c r="AN32" i="5" l="1"/>
  <c r="AN33" i="5"/>
  <c r="AM32" i="5" l="1"/>
  <c r="AM33" i="5"/>
  <c r="BX32" i="15"/>
  <c r="BX33" i="15"/>
  <c r="BW32" i="15"/>
  <c r="BW33" i="15"/>
  <c r="BV32" i="15"/>
  <c r="BV33" i="15"/>
  <c r="BU33" i="15"/>
  <c r="BU32" i="15"/>
  <c r="AL33" i="5" l="1"/>
  <c r="AL32" i="5"/>
  <c r="AK32" i="5" l="1"/>
  <c r="AK33" i="5"/>
  <c r="AJ33" i="5" l="1"/>
  <c r="AJ32" i="5"/>
  <c r="AI32" i="5" l="1"/>
  <c r="AI33" i="5"/>
  <c r="AH33" i="5" l="1"/>
  <c r="AH32" i="5"/>
  <c r="H16" i="14"/>
  <c r="H17" i="14"/>
  <c r="H18" i="14"/>
  <c r="H19" i="14"/>
  <c r="H20" i="14"/>
  <c r="H21" i="14"/>
  <c r="AE32" i="5" l="1"/>
  <c r="AE33" i="5"/>
  <c r="AF32" i="5"/>
  <c r="AF33" i="5"/>
  <c r="AG32" i="5"/>
  <c r="AG33" i="5"/>
  <c r="AD33" i="5" l="1"/>
  <c r="AD32" i="5"/>
  <c r="AC32" i="5" l="1"/>
  <c r="AC33" i="5"/>
  <c r="AB32" i="5" l="1"/>
  <c r="AB33" i="5"/>
  <c r="E97" i="18"/>
  <c r="E93" i="18"/>
  <c r="E89" i="18"/>
  <c r="E85" i="18"/>
  <c r="E81" i="18"/>
  <c r="E77" i="18"/>
  <c r="E73" i="18"/>
  <c r="E69" i="18"/>
  <c r="E65" i="18"/>
  <c r="E61" i="18"/>
  <c r="E57" i="18"/>
  <c r="E53" i="18"/>
  <c r="E49" i="18"/>
  <c r="E45" i="18"/>
  <c r="E41" i="18"/>
  <c r="M33" i="18"/>
  <c r="N33" i="18"/>
  <c r="O33" i="18"/>
  <c r="P33" i="18"/>
  <c r="Q33" i="18"/>
  <c r="R33" i="18"/>
  <c r="S33" i="18"/>
  <c r="T33" i="18"/>
  <c r="U33" i="18"/>
  <c r="V33" i="18"/>
  <c r="W33" i="18"/>
  <c r="X33" i="18"/>
  <c r="Y33" i="18"/>
  <c r="Z33" i="18"/>
  <c r="AA33" i="18"/>
  <c r="AB33" i="18"/>
  <c r="AC33" i="18"/>
  <c r="AD33" i="18"/>
  <c r="AE33" i="18"/>
  <c r="AF33" i="18"/>
  <c r="AG33" i="18"/>
  <c r="AH33" i="18"/>
  <c r="AI33" i="18"/>
  <c r="AJ33" i="18"/>
  <c r="AK33" i="18"/>
  <c r="AM33" i="18"/>
  <c r="M34" i="18"/>
  <c r="N34" i="18"/>
  <c r="O34" i="18"/>
  <c r="P34" i="18"/>
  <c r="Q34" i="18"/>
  <c r="R34" i="18"/>
  <c r="S34" i="18"/>
  <c r="T34" i="18"/>
  <c r="U34" i="18"/>
  <c r="V34" i="18"/>
  <c r="W34" i="18"/>
  <c r="X34" i="18"/>
  <c r="Y34" i="18"/>
  <c r="Z34" i="18"/>
  <c r="AA34" i="18"/>
  <c r="AB34" i="18"/>
  <c r="AC34" i="18"/>
  <c r="AD34" i="18"/>
  <c r="AE34" i="18"/>
  <c r="AF34" i="18"/>
  <c r="AG34" i="18"/>
  <c r="AH34" i="18"/>
  <c r="AI34" i="18"/>
  <c r="AJ34" i="18"/>
  <c r="AK34" i="18"/>
  <c r="AM34" i="18"/>
  <c r="L33" i="18"/>
  <c r="L34" i="18"/>
  <c r="K33" i="18"/>
  <c r="K34" i="18"/>
  <c r="J34" i="18"/>
  <c r="J33" i="18"/>
  <c r="J35" i="18" s="1"/>
  <c r="E37" i="18"/>
  <c r="E100" i="16"/>
  <c r="E93" i="16"/>
  <c r="E86" i="16"/>
  <c r="I86" i="16" s="1"/>
  <c r="E79" i="16"/>
  <c r="E72" i="16"/>
  <c r="E65" i="16"/>
  <c r="E58" i="16"/>
  <c r="E51" i="16"/>
  <c r="E44" i="16"/>
  <c r="E37" i="16"/>
  <c r="AI5" i="16"/>
  <c r="AJ5" i="16"/>
  <c r="AK5" i="16"/>
  <c r="AL5" i="16"/>
  <c r="AM5" i="16"/>
  <c r="AN5" i="16"/>
  <c r="AO5" i="16"/>
  <c r="AP5" i="16"/>
  <c r="AQ5" i="16"/>
  <c r="AR5" i="16"/>
  <c r="AS5" i="16"/>
  <c r="AT5" i="16"/>
  <c r="AU5" i="16"/>
  <c r="AV5" i="16"/>
  <c r="AW5" i="16"/>
  <c r="AX5" i="16"/>
  <c r="AI6" i="16"/>
  <c r="AJ6" i="16"/>
  <c r="AK6" i="16"/>
  <c r="AL6" i="16"/>
  <c r="AM6" i="16"/>
  <c r="AN6" i="16"/>
  <c r="AO6" i="16"/>
  <c r="AP6" i="16"/>
  <c r="AQ6" i="16"/>
  <c r="AR6" i="16"/>
  <c r="AS6" i="16"/>
  <c r="AT6" i="16"/>
  <c r="AU6" i="16"/>
  <c r="AV6" i="16"/>
  <c r="AW6" i="16"/>
  <c r="AX6" i="16"/>
  <c r="AI7" i="16"/>
  <c r="AJ7" i="16"/>
  <c r="AK7" i="16"/>
  <c r="AL7" i="16"/>
  <c r="AM7" i="16"/>
  <c r="AN7" i="16"/>
  <c r="AO7" i="16"/>
  <c r="AP7" i="16"/>
  <c r="AQ7" i="16"/>
  <c r="AR7" i="16"/>
  <c r="AS7" i="16"/>
  <c r="AT7" i="16"/>
  <c r="AU7" i="16"/>
  <c r="AV7" i="16"/>
  <c r="AW7" i="16"/>
  <c r="AX7" i="16"/>
  <c r="AI8" i="16"/>
  <c r="AJ8" i="16"/>
  <c r="AK8" i="16"/>
  <c r="AL8" i="16"/>
  <c r="AM8" i="16"/>
  <c r="AN8" i="16"/>
  <c r="AO8" i="16"/>
  <c r="AP8" i="16"/>
  <c r="AQ8" i="16"/>
  <c r="AR8" i="16"/>
  <c r="AS8" i="16"/>
  <c r="AT8" i="16"/>
  <c r="AU8" i="16"/>
  <c r="AV8" i="16"/>
  <c r="AW8" i="16"/>
  <c r="AX8" i="16"/>
  <c r="BA8" i="16"/>
  <c r="BB8" i="16"/>
  <c r="AI9" i="16"/>
  <c r="AJ9" i="16"/>
  <c r="AK9" i="16"/>
  <c r="AL9" i="16"/>
  <c r="AM9" i="16"/>
  <c r="AN9" i="16"/>
  <c r="AO9" i="16"/>
  <c r="AP9" i="16"/>
  <c r="AQ9" i="16"/>
  <c r="AR9" i="16"/>
  <c r="AS9" i="16"/>
  <c r="AT9" i="16"/>
  <c r="AU9" i="16"/>
  <c r="AV9" i="16"/>
  <c r="AW9" i="16"/>
  <c r="AX9" i="16"/>
  <c r="AI10" i="16"/>
  <c r="AJ10" i="16"/>
  <c r="AK10" i="16"/>
  <c r="AL10" i="16"/>
  <c r="AM10" i="16"/>
  <c r="AN10" i="16"/>
  <c r="AO10" i="16"/>
  <c r="AP10" i="16"/>
  <c r="AQ10" i="16"/>
  <c r="AR10" i="16"/>
  <c r="AS10" i="16"/>
  <c r="AT10" i="16"/>
  <c r="AU10" i="16"/>
  <c r="AV10" i="16"/>
  <c r="AW10" i="16"/>
  <c r="AX10" i="16"/>
  <c r="AI11" i="16"/>
  <c r="AJ11" i="16"/>
  <c r="AK11" i="16"/>
  <c r="AL11" i="16"/>
  <c r="AM11" i="16"/>
  <c r="AN11" i="16"/>
  <c r="AO11" i="16"/>
  <c r="AP11" i="16"/>
  <c r="AQ11" i="16"/>
  <c r="AR11" i="16"/>
  <c r="AS11" i="16"/>
  <c r="AT11" i="16"/>
  <c r="AU11" i="16"/>
  <c r="AV11" i="16"/>
  <c r="AW11" i="16"/>
  <c r="AX11" i="16"/>
  <c r="BA11" i="16"/>
  <c r="BB11" i="16"/>
  <c r="AI12" i="16"/>
  <c r="AJ12" i="16"/>
  <c r="AK12" i="16"/>
  <c r="AL12" i="16"/>
  <c r="AM12" i="16"/>
  <c r="AN12" i="16"/>
  <c r="AO12" i="16"/>
  <c r="AP12" i="16"/>
  <c r="AQ12" i="16"/>
  <c r="AR12" i="16"/>
  <c r="AS12" i="16"/>
  <c r="AT12" i="16"/>
  <c r="AU12" i="16"/>
  <c r="AV12" i="16"/>
  <c r="AW12" i="16"/>
  <c r="AX12" i="16"/>
  <c r="AI13" i="16"/>
  <c r="AJ13" i="16"/>
  <c r="AK13" i="16"/>
  <c r="AL13" i="16"/>
  <c r="AM13" i="16"/>
  <c r="AN13" i="16"/>
  <c r="AO13" i="16"/>
  <c r="AP13" i="16"/>
  <c r="AQ13" i="16"/>
  <c r="AR13" i="16"/>
  <c r="AS13" i="16"/>
  <c r="AT13" i="16"/>
  <c r="AU13" i="16"/>
  <c r="AV13" i="16"/>
  <c r="AW13" i="16"/>
  <c r="AX13" i="16"/>
  <c r="AI14" i="16"/>
  <c r="AJ14" i="16"/>
  <c r="AK14" i="16"/>
  <c r="AL14" i="16"/>
  <c r="AM14" i="16"/>
  <c r="AN14" i="16"/>
  <c r="AO14" i="16"/>
  <c r="AP14" i="16"/>
  <c r="AQ14" i="16"/>
  <c r="AR14" i="16"/>
  <c r="AS14" i="16"/>
  <c r="AT14" i="16"/>
  <c r="AU14" i="16"/>
  <c r="AV14" i="16"/>
  <c r="AW14" i="16"/>
  <c r="AX14" i="16"/>
  <c r="AI15" i="16"/>
  <c r="AJ15" i="16"/>
  <c r="AK15" i="16"/>
  <c r="AL15" i="16"/>
  <c r="AM15" i="16"/>
  <c r="AN15" i="16"/>
  <c r="AO15" i="16"/>
  <c r="AP15" i="16"/>
  <c r="AQ15" i="16"/>
  <c r="AR15" i="16"/>
  <c r="AS15" i="16"/>
  <c r="AT15" i="16"/>
  <c r="AU15" i="16"/>
  <c r="AV15" i="16"/>
  <c r="AW15" i="16"/>
  <c r="AX15" i="16"/>
  <c r="AI16" i="16"/>
  <c r="AJ16" i="16"/>
  <c r="AK16" i="16"/>
  <c r="AL16" i="16"/>
  <c r="AM16" i="16"/>
  <c r="AN16" i="16"/>
  <c r="AO16" i="16"/>
  <c r="AP16" i="16"/>
  <c r="AQ16" i="16"/>
  <c r="AR16" i="16"/>
  <c r="AS16" i="16"/>
  <c r="AT16" i="16"/>
  <c r="AU16" i="16"/>
  <c r="AV16" i="16"/>
  <c r="AW16" i="16"/>
  <c r="AX16" i="16"/>
  <c r="AI17" i="16"/>
  <c r="AJ17" i="16"/>
  <c r="AK17" i="16"/>
  <c r="AL17" i="16"/>
  <c r="AM17" i="16"/>
  <c r="AN17" i="16"/>
  <c r="AO17" i="16"/>
  <c r="AP17" i="16"/>
  <c r="AQ17" i="16"/>
  <c r="AR17" i="16"/>
  <c r="AS17" i="16"/>
  <c r="AT17" i="16"/>
  <c r="AU17" i="16"/>
  <c r="AV17" i="16"/>
  <c r="AW17" i="16"/>
  <c r="AX17" i="16"/>
  <c r="AI18" i="16"/>
  <c r="AJ18" i="16"/>
  <c r="AK18" i="16"/>
  <c r="AL18" i="16"/>
  <c r="AM18" i="16"/>
  <c r="AN18" i="16"/>
  <c r="AO18" i="16"/>
  <c r="AP18" i="16"/>
  <c r="AQ18" i="16"/>
  <c r="AR18" i="16"/>
  <c r="AS18" i="16"/>
  <c r="AT18" i="16"/>
  <c r="AU18" i="16"/>
  <c r="AV18" i="16"/>
  <c r="AW18" i="16"/>
  <c r="AX18" i="16"/>
  <c r="AI19" i="16"/>
  <c r="AJ19" i="16"/>
  <c r="AK19" i="16"/>
  <c r="AL19" i="16"/>
  <c r="AM19" i="16"/>
  <c r="AN19" i="16"/>
  <c r="AO19" i="16"/>
  <c r="AP19" i="16"/>
  <c r="AQ19" i="16"/>
  <c r="AR19" i="16"/>
  <c r="AS19" i="16"/>
  <c r="AT19" i="16"/>
  <c r="AU19" i="16"/>
  <c r="AV19" i="16"/>
  <c r="AW19" i="16"/>
  <c r="AX19" i="16"/>
  <c r="AI20" i="16"/>
  <c r="AJ20" i="16"/>
  <c r="AK20" i="16"/>
  <c r="AL20" i="16"/>
  <c r="AM20" i="16"/>
  <c r="AN20" i="16"/>
  <c r="AO20" i="16"/>
  <c r="AP20" i="16"/>
  <c r="AQ20" i="16"/>
  <c r="AR20" i="16"/>
  <c r="AS20" i="16"/>
  <c r="AT20" i="16"/>
  <c r="AU20" i="16"/>
  <c r="AV20" i="16"/>
  <c r="AW20" i="16"/>
  <c r="AX20" i="16"/>
  <c r="AI21" i="16"/>
  <c r="AJ21" i="16"/>
  <c r="AK21" i="16"/>
  <c r="AL21" i="16"/>
  <c r="AM21" i="16"/>
  <c r="AN21" i="16"/>
  <c r="AO21" i="16"/>
  <c r="AP21" i="16"/>
  <c r="AQ21" i="16"/>
  <c r="AR21" i="16"/>
  <c r="AS21" i="16"/>
  <c r="AT21" i="16"/>
  <c r="AU21" i="16"/>
  <c r="AV21" i="16"/>
  <c r="AW21" i="16"/>
  <c r="AX21" i="16"/>
  <c r="BA21" i="16"/>
  <c r="BB21" i="16"/>
  <c r="AI22" i="16"/>
  <c r="AJ22" i="16"/>
  <c r="AK22" i="16"/>
  <c r="AL22" i="16"/>
  <c r="AM22" i="16"/>
  <c r="AN22" i="16"/>
  <c r="AO22" i="16"/>
  <c r="AP22" i="16"/>
  <c r="AQ22" i="16"/>
  <c r="AR22" i="16"/>
  <c r="AS22" i="16"/>
  <c r="AT22" i="16"/>
  <c r="AU22" i="16"/>
  <c r="AV22" i="16"/>
  <c r="AW22" i="16"/>
  <c r="AX22" i="16"/>
  <c r="AI23" i="16"/>
  <c r="AJ23" i="16"/>
  <c r="AK23" i="16"/>
  <c r="AL23" i="16"/>
  <c r="AM23" i="16"/>
  <c r="AN23" i="16"/>
  <c r="AO23" i="16"/>
  <c r="AP23" i="16"/>
  <c r="AQ23" i="16"/>
  <c r="AR23" i="16"/>
  <c r="AS23" i="16"/>
  <c r="AT23" i="16"/>
  <c r="AU23" i="16"/>
  <c r="AV23" i="16"/>
  <c r="AW23" i="16"/>
  <c r="AX23" i="16"/>
  <c r="AI24" i="16"/>
  <c r="AJ24" i="16"/>
  <c r="AK24" i="16"/>
  <c r="AL24" i="16"/>
  <c r="AM24" i="16"/>
  <c r="AN24" i="16"/>
  <c r="AO24" i="16"/>
  <c r="AP24" i="16"/>
  <c r="AQ24" i="16"/>
  <c r="AR24" i="16"/>
  <c r="AS24" i="16"/>
  <c r="AT24" i="16"/>
  <c r="AU24" i="16"/>
  <c r="AV24" i="16"/>
  <c r="AW24" i="16"/>
  <c r="AX24" i="16"/>
  <c r="AI25" i="16"/>
  <c r="AJ25" i="16"/>
  <c r="AK25" i="16"/>
  <c r="AL25" i="16"/>
  <c r="AM25" i="16"/>
  <c r="AN25" i="16"/>
  <c r="AO25" i="16"/>
  <c r="AP25" i="16"/>
  <c r="AQ25" i="16"/>
  <c r="AR25" i="16"/>
  <c r="AS25" i="16"/>
  <c r="AT25" i="16"/>
  <c r="AU25" i="16"/>
  <c r="AV25" i="16"/>
  <c r="AW25" i="16"/>
  <c r="AX25" i="16"/>
  <c r="BA25" i="16"/>
  <c r="BB25" i="16"/>
  <c r="AI26" i="16"/>
  <c r="AJ26" i="16"/>
  <c r="AK26" i="16"/>
  <c r="AL26" i="16"/>
  <c r="AM26" i="16"/>
  <c r="AN26" i="16"/>
  <c r="AO26" i="16"/>
  <c r="AP26" i="16"/>
  <c r="AQ26" i="16"/>
  <c r="AR26" i="16"/>
  <c r="AS26" i="16"/>
  <c r="AT26" i="16"/>
  <c r="AU26" i="16"/>
  <c r="AV26" i="16"/>
  <c r="AW26" i="16"/>
  <c r="AX26" i="16"/>
  <c r="BA26" i="16"/>
  <c r="BB26" i="16"/>
  <c r="AI27" i="16"/>
  <c r="AJ27" i="16"/>
  <c r="AK27" i="16"/>
  <c r="AL27" i="16"/>
  <c r="AM27" i="16"/>
  <c r="AN27" i="16"/>
  <c r="AO27" i="16"/>
  <c r="AP27" i="16"/>
  <c r="AQ27" i="16"/>
  <c r="AR27" i="16"/>
  <c r="AS27" i="16"/>
  <c r="AT27" i="16"/>
  <c r="AU27" i="16"/>
  <c r="AV27" i="16"/>
  <c r="AW27" i="16"/>
  <c r="AX27" i="16"/>
  <c r="BA27" i="16"/>
  <c r="BB27" i="16"/>
  <c r="AI28" i="16"/>
  <c r="AJ28" i="16"/>
  <c r="AK28" i="16"/>
  <c r="AL28" i="16"/>
  <c r="AM28" i="16"/>
  <c r="AN28" i="16"/>
  <c r="AO28" i="16"/>
  <c r="AP28" i="16"/>
  <c r="AQ28" i="16"/>
  <c r="AR28" i="16"/>
  <c r="AS28" i="16"/>
  <c r="AT28" i="16"/>
  <c r="AU28" i="16"/>
  <c r="AV28" i="16"/>
  <c r="AW28" i="16"/>
  <c r="AX28" i="16"/>
  <c r="AI29" i="16"/>
  <c r="AJ29" i="16"/>
  <c r="AK29" i="16"/>
  <c r="AL29" i="16"/>
  <c r="AM29" i="16"/>
  <c r="AN29" i="16"/>
  <c r="AO29" i="16"/>
  <c r="AP29" i="16"/>
  <c r="AQ29" i="16"/>
  <c r="AR29" i="16"/>
  <c r="AS29" i="16"/>
  <c r="AT29" i="16"/>
  <c r="AU29" i="16"/>
  <c r="AV29" i="16"/>
  <c r="AW29" i="16"/>
  <c r="AX29" i="16"/>
  <c r="AI30" i="16"/>
  <c r="AJ30" i="16"/>
  <c r="AK30" i="16"/>
  <c r="AL30" i="16"/>
  <c r="AM30" i="16"/>
  <c r="AN30" i="16"/>
  <c r="AO30" i="16"/>
  <c r="AP30" i="16"/>
  <c r="AQ30" i="16"/>
  <c r="AR30" i="16"/>
  <c r="AS30" i="16"/>
  <c r="AT30" i="16"/>
  <c r="AU30" i="16"/>
  <c r="AV30" i="16"/>
  <c r="AW30" i="16"/>
  <c r="AX30" i="16"/>
  <c r="AH30" i="16"/>
  <c r="AH5" i="16"/>
  <c r="AH6" i="16"/>
  <c r="AH7" i="16"/>
  <c r="AH8" i="16"/>
  <c r="AH9" i="16"/>
  <c r="AH10" i="16"/>
  <c r="AH11" i="16"/>
  <c r="AH12" i="16"/>
  <c r="AH13" i="16"/>
  <c r="AH14" i="16"/>
  <c r="AH15" i="16"/>
  <c r="AH16" i="16"/>
  <c r="AH17" i="16"/>
  <c r="AH18" i="16"/>
  <c r="AH19" i="16"/>
  <c r="AH20" i="16"/>
  <c r="AH21" i="16"/>
  <c r="AH22" i="16"/>
  <c r="AH23" i="16"/>
  <c r="AH24" i="16"/>
  <c r="AH25" i="16"/>
  <c r="AH26" i="16"/>
  <c r="AH27" i="16"/>
  <c r="AH28" i="16"/>
  <c r="AH29" i="16"/>
  <c r="E80" i="15"/>
  <c r="E77" i="15"/>
  <c r="E74" i="15"/>
  <c r="E71" i="15"/>
  <c r="E68" i="15"/>
  <c r="E65" i="15"/>
  <c r="E62" i="15"/>
  <c r="E59" i="15"/>
  <c r="E56" i="15"/>
  <c r="E53" i="15"/>
  <c r="E50" i="15"/>
  <c r="E47" i="15"/>
  <c r="E44" i="15"/>
  <c r="E41" i="15"/>
  <c r="E38" i="15"/>
  <c r="E35" i="15"/>
  <c r="J21" i="14"/>
  <c r="J16" i="14"/>
  <c r="J17" i="14"/>
  <c r="J18" i="14"/>
  <c r="J19" i="14"/>
  <c r="J20" i="14"/>
  <c r="E86" i="5"/>
  <c r="E83" i="5"/>
  <c r="E80" i="5"/>
  <c r="E77" i="5"/>
  <c r="E74" i="5"/>
  <c r="E71" i="5"/>
  <c r="I32" i="5"/>
  <c r="E68" i="5"/>
  <c r="E65" i="5"/>
  <c r="E60" i="5"/>
  <c r="E57" i="5"/>
  <c r="E52" i="5"/>
  <c r="E49" i="5"/>
  <c r="E44" i="5"/>
  <c r="E41" i="5"/>
  <c r="E35" i="5"/>
  <c r="E16" i="14"/>
  <c r="E17" i="14"/>
  <c r="E18" i="14"/>
  <c r="E19" i="14"/>
  <c r="E20" i="14"/>
  <c r="E21" i="14"/>
  <c r="DI68" i="5" l="1"/>
  <c r="DK68" i="5"/>
  <c r="BK69" i="5" a="1"/>
  <c r="BK69" i="5" s="1"/>
  <c r="BJ68" i="5"/>
  <c r="BL69" i="5" a="1"/>
  <c r="BL69" i="5" s="1"/>
  <c r="DE68" i="5"/>
  <c r="DG68" i="5"/>
  <c r="BM68" i="5"/>
  <c r="BO69" i="5" a="1"/>
  <c r="BO69" i="5" s="1"/>
  <c r="BN69" i="5" a="1"/>
  <c r="BN69" i="5" s="1"/>
  <c r="BP69" i="5" a="1"/>
  <c r="BP69" i="5" s="1"/>
  <c r="BO68" i="5"/>
  <c r="BP68" i="5"/>
  <c r="DF68" i="5"/>
  <c r="BK68" i="5"/>
  <c r="BL68" i="5"/>
  <c r="DH68" i="5"/>
  <c r="DJ68" i="5"/>
  <c r="BN68" i="5"/>
  <c r="BM69" i="5" a="1"/>
  <c r="BM69" i="5" s="1"/>
  <c r="BJ69" i="5" a="1"/>
  <c r="BJ69" i="5" s="1"/>
  <c r="DI69" i="5" a="1"/>
  <c r="DI69" i="5" s="1"/>
  <c r="DH69" i="5" a="1"/>
  <c r="DH69" i="5" s="1"/>
  <c r="DJ69" i="5" a="1"/>
  <c r="DJ69" i="5" s="1"/>
  <c r="DF69" i="5" a="1"/>
  <c r="DF69" i="5" s="1"/>
  <c r="DK69" i="5" a="1"/>
  <c r="DK69" i="5" s="1"/>
  <c r="DG69" i="5" a="1"/>
  <c r="DG69" i="5" s="1"/>
  <c r="DE69" i="5" a="1"/>
  <c r="DE69" i="5" s="1"/>
  <c r="AU78" i="18"/>
  <c r="AU77" i="18"/>
  <c r="AV78" i="18"/>
  <c r="AV77" i="18"/>
  <c r="AW78" i="18"/>
  <c r="AW77" i="18"/>
  <c r="AX78" i="18"/>
  <c r="AX77" i="18"/>
  <c r="AY78" i="18"/>
  <c r="AY77" i="18"/>
  <c r="AZ78" i="18"/>
  <c r="AZ77" i="18"/>
  <c r="BA78" i="18"/>
  <c r="BA77" i="18"/>
  <c r="BP41" i="5"/>
  <c r="BJ41" i="5"/>
  <c r="BL42" i="5" a="1"/>
  <c r="BL42" i="5" s="1"/>
  <c r="BM42" i="5" a="1"/>
  <c r="BM42" i="5" s="1"/>
  <c r="BK41" i="5"/>
  <c r="BN41" i="5"/>
  <c r="BP42" i="5" a="1"/>
  <c r="BP42" i="5" s="1"/>
  <c r="BL41" i="5"/>
  <c r="BO42" i="5" a="1"/>
  <c r="BO42" i="5" s="1"/>
  <c r="BM41" i="5"/>
  <c r="BO41" i="5"/>
  <c r="BK42" i="5" a="1"/>
  <c r="BK42" i="5" s="1"/>
  <c r="BN42" i="5" a="1"/>
  <c r="BN42" i="5" s="1"/>
  <c r="BJ42" i="5" a="1"/>
  <c r="BJ42" i="5" s="1"/>
  <c r="DI41" i="5"/>
  <c r="DJ42" i="5" a="1"/>
  <c r="DJ42" i="5" s="1"/>
  <c r="DH42" i="5" a="1"/>
  <c r="DH42" i="5" s="1"/>
  <c r="DG42" i="5" a="1"/>
  <c r="DG42" i="5" s="1"/>
  <c r="DF42" i="5" a="1"/>
  <c r="DF42" i="5" s="1"/>
  <c r="DK41" i="5"/>
  <c r="DE42" i="5" a="1"/>
  <c r="DE42" i="5" s="1"/>
  <c r="DK42" i="5" a="1"/>
  <c r="DK42" i="5" s="1"/>
  <c r="DI42" i="5" a="1"/>
  <c r="DI42" i="5" s="1"/>
  <c r="DJ41" i="5"/>
  <c r="DG41" i="5"/>
  <c r="DH41" i="5"/>
  <c r="DF41" i="5"/>
  <c r="DE41" i="5"/>
  <c r="CQ42" i="15" a="1"/>
  <c r="CQ42" i="15" s="1"/>
  <c r="CU41" i="15"/>
  <c r="CR42" i="15" a="1"/>
  <c r="CR42" i="15" s="1"/>
  <c r="CS42" i="15" a="1"/>
  <c r="CS42" i="15" s="1"/>
  <c r="CT41" i="15"/>
  <c r="CU42" i="15" a="1"/>
  <c r="CU42" i="15" s="1"/>
  <c r="CQ41" i="15"/>
  <c r="CS41" i="15"/>
  <c r="CV42" i="15" a="1"/>
  <c r="CV42" i="15" s="1"/>
  <c r="CR41" i="15"/>
  <c r="CT42" i="15" a="1"/>
  <c r="CT42" i="15" s="1"/>
  <c r="CV41" i="15"/>
  <c r="CS65" i="15"/>
  <c r="CU65" i="15"/>
  <c r="CV65" i="15"/>
  <c r="CQ65" i="15"/>
  <c r="CR65" i="15"/>
  <c r="CT65" i="15"/>
  <c r="CV66" i="15" a="1"/>
  <c r="CV66" i="15" s="1"/>
  <c r="CR66" i="15" a="1"/>
  <c r="CR66" i="15" s="1"/>
  <c r="CU66" i="15" a="1"/>
  <c r="CU66" i="15" s="1"/>
  <c r="CT66" i="15" a="1"/>
  <c r="CT66" i="15" s="1"/>
  <c r="CQ66" i="15" a="1"/>
  <c r="CQ66" i="15" s="1"/>
  <c r="CS66" i="15" a="1"/>
  <c r="CS66" i="15" s="1"/>
  <c r="AV49" i="18"/>
  <c r="AW50" i="18"/>
  <c r="AW49" i="18"/>
  <c r="AX50" i="18"/>
  <c r="AX49" i="18"/>
  <c r="AY50" i="18"/>
  <c r="AY49" i="18"/>
  <c r="AZ50" i="18"/>
  <c r="AZ49" i="18"/>
  <c r="BA50" i="18"/>
  <c r="BA49" i="18"/>
  <c r="AU50" i="18"/>
  <c r="AU49" i="18"/>
  <c r="AV50" i="18"/>
  <c r="AV81" i="18"/>
  <c r="AW82" i="18"/>
  <c r="AW81" i="18"/>
  <c r="AX82" i="18"/>
  <c r="AX81" i="18"/>
  <c r="AY82" i="18"/>
  <c r="AY81" i="18"/>
  <c r="AZ82" i="18"/>
  <c r="AZ81" i="18"/>
  <c r="BA82" i="18"/>
  <c r="BA81" i="18"/>
  <c r="AU82" i="18"/>
  <c r="AU81" i="18"/>
  <c r="AV82" i="18"/>
  <c r="AX53" i="18"/>
  <c r="AY54" i="18"/>
  <c r="AY53" i="18"/>
  <c r="AZ54" i="18"/>
  <c r="AZ53" i="18"/>
  <c r="BA54" i="18"/>
  <c r="BA53" i="18"/>
  <c r="AU54" i="18"/>
  <c r="AU53" i="18"/>
  <c r="AV54" i="18"/>
  <c r="AV53" i="18"/>
  <c r="AW54" i="18"/>
  <c r="AW53" i="18"/>
  <c r="AX54" i="18"/>
  <c r="AX85" i="18"/>
  <c r="AY86" i="18"/>
  <c r="AY85" i="18"/>
  <c r="AZ86" i="18"/>
  <c r="AZ85" i="18"/>
  <c r="BA86" i="18"/>
  <c r="BA85" i="18"/>
  <c r="AU86" i="18"/>
  <c r="AU85" i="18"/>
  <c r="AV86" i="18"/>
  <c r="AV85" i="18"/>
  <c r="AW86" i="18"/>
  <c r="AW85" i="18"/>
  <c r="AX86" i="18"/>
  <c r="BJ35" i="5"/>
  <c r="BL36" i="5" a="1"/>
  <c r="BL36" i="5" s="1"/>
  <c r="BL35" i="5"/>
  <c r="BN36" i="5" a="1"/>
  <c r="BN36" i="5" s="1"/>
  <c r="BM35" i="5"/>
  <c r="BO36" i="5" a="1"/>
  <c r="BO36" i="5" s="1"/>
  <c r="BN35" i="5"/>
  <c r="BP36" i="5" a="1"/>
  <c r="BP36" i="5" s="1"/>
  <c r="BP35" i="5"/>
  <c r="BO35" i="5"/>
  <c r="BK36" i="5" a="1"/>
  <c r="BK36" i="5" s="1"/>
  <c r="BM36" i="5" a="1"/>
  <c r="BM36" i="5" s="1"/>
  <c r="BK35" i="5"/>
  <c r="BJ36" i="5" a="1"/>
  <c r="BJ36" i="5" s="1"/>
  <c r="DJ36" i="5" a="1"/>
  <c r="DJ36" i="5" s="1"/>
  <c r="DE36" i="5" a="1"/>
  <c r="DE36" i="5" s="1"/>
  <c r="DI36" i="5" a="1"/>
  <c r="DI36" i="5" s="1"/>
  <c r="DH35" i="5"/>
  <c r="DI35" i="5"/>
  <c r="DG35" i="5"/>
  <c r="DF36" i="5" a="1"/>
  <c r="DF36" i="5" s="1"/>
  <c r="DH36" i="5" a="1"/>
  <c r="DH36" i="5" s="1"/>
  <c r="DJ35" i="5"/>
  <c r="DG36" i="5" a="1"/>
  <c r="DG36" i="5" s="1"/>
  <c r="DE35" i="5"/>
  <c r="DK35" i="5"/>
  <c r="DF35" i="5"/>
  <c r="DK36" i="5" a="1"/>
  <c r="DK36" i="5" s="1"/>
  <c r="CU68" i="15"/>
  <c r="CQ68" i="15"/>
  <c r="CS68" i="15"/>
  <c r="CV68" i="15"/>
  <c r="CT68" i="15"/>
  <c r="CR68" i="15"/>
  <c r="CV69" i="15" a="1"/>
  <c r="CV69" i="15" s="1"/>
  <c r="CU69" i="15" a="1"/>
  <c r="CU69" i="15" s="1"/>
  <c r="CQ69" i="15" a="1"/>
  <c r="CQ69" i="15" s="1"/>
  <c r="CS69" i="15" a="1"/>
  <c r="CS69" i="15" s="1"/>
  <c r="CR69" i="15" a="1"/>
  <c r="CR69" i="15" s="1"/>
  <c r="CT69" i="15" a="1"/>
  <c r="CT69" i="15" s="1"/>
  <c r="BO49" i="5"/>
  <c r="BP50" i="5" a="1"/>
  <c r="BP50" i="5" s="1"/>
  <c r="BK50" i="5" a="1"/>
  <c r="BK50" i="5" s="1"/>
  <c r="BJ49" i="5"/>
  <c r="BL50" i="5" a="1"/>
  <c r="BL50" i="5" s="1"/>
  <c r="BM49" i="5"/>
  <c r="BO50" i="5" a="1"/>
  <c r="BO50" i="5" s="1"/>
  <c r="BM50" i="5" a="1"/>
  <c r="BM50" i="5" s="1"/>
  <c r="BN50" i="5" a="1"/>
  <c r="BN50" i="5" s="1"/>
  <c r="BN49" i="5"/>
  <c r="BK49" i="5"/>
  <c r="BL49" i="5"/>
  <c r="BP49" i="5"/>
  <c r="BJ50" i="5" a="1"/>
  <c r="BJ50" i="5" s="1"/>
  <c r="DH49" i="5"/>
  <c r="DJ49" i="5"/>
  <c r="DG49" i="5"/>
  <c r="DJ50" i="5" a="1"/>
  <c r="DJ50" i="5" s="1"/>
  <c r="DI49" i="5"/>
  <c r="DF49" i="5"/>
  <c r="DE50" i="5" a="1"/>
  <c r="DE50" i="5" s="1"/>
  <c r="DI50" i="5" a="1"/>
  <c r="DI50" i="5" s="1"/>
  <c r="DE49" i="5"/>
  <c r="DG50" i="5" a="1"/>
  <c r="DG50" i="5" s="1"/>
  <c r="DK49" i="5"/>
  <c r="DH50" i="5" a="1"/>
  <c r="DH50" i="5" s="1"/>
  <c r="DK50" i="5" a="1"/>
  <c r="DK50" i="5" s="1"/>
  <c r="DF50" i="5" a="1"/>
  <c r="DF50" i="5" s="1"/>
  <c r="DK74" i="5"/>
  <c r="DE74" i="5"/>
  <c r="BO74" i="5"/>
  <c r="DF74" i="5"/>
  <c r="BP74" i="5"/>
  <c r="DG74" i="5"/>
  <c r="DI74" i="5"/>
  <c r="BK74" i="5"/>
  <c r="BM75" i="5" a="1"/>
  <c r="BM75" i="5" s="1"/>
  <c r="DH74" i="5"/>
  <c r="BN75" i="5" a="1"/>
  <c r="BN75" i="5" s="1"/>
  <c r="BO75" i="5" a="1"/>
  <c r="BO75" i="5" s="1"/>
  <c r="BN74" i="5"/>
  <c r="BL75" i="5" a="1"/>
  <c r="BL75" i="5" s="1"/>
  <c r="DJ74" i="5"/>
  <c r="BJ74" i="5"/>
  <c r="BP75" i="5" a="1"/>
  <c r="BP75" i="5" s="1"/>
  <c r="BL74" i="5"/>
  <c r="BK75" i="5" a="1"/>
  <c r="BK75" i="5" s="1"/>
  <c r="BM74" i="5"/>
  <c r="BJ75" i="5" a="1"/>
  <c r="BJ75" i="5" s="1"/>
  <c r="DH75" i="5" a="1"/>
  <c r="DH75" i="5" s="1"/>
  <c r="DF75" i="5" a="1"/>
  <c r="DF75" i="5" s="1"/>
  <c r="DJ75" i="5" a="1"/>
  <c r="DJ75" i="5" s="1"/>
  <c r="DI75" i="5" a="1"/>
  <c r="DI75" i="5" s="1"/>
  <c r="DK75" i="5" a="1"/>
  <c r="DK75" i="5" s="1"/>
  <c r="DE75" i="5" a="1"/>
  <c r="DE75" i="5" s="1"/>
  <c r="DG75" i="5" a="1"/>
  <c r="DG75" i="5" s="1"/>
  <c r="CR47" i="15"/>
  <c r="CU48" i="15" a="1"/>
  <c r="CU48" i="15" s="1"/>
  <c r="CT48" i="15" a="1"/>
  <c r="CT48" i="15" s="1"/>
  <c r="CR48" i="15" a="1"/>
  <c r="CR48" i="15" s="1"/>
  <c r="CQ47" i="15"/>
  <c r="CS47" i="15"/>
  <c r="CT47" i="15"/>
  <c r="CS48" i="15" a="1"/>
  <c r="CS48" i="15" s="1"/>
  <c r="CV48" i="15" a="1"/>
  <c r="CV48" i="15" s="1"/>
  <c r="CU47" i="15"/>
  <c r="CQ48" i="15" a="1"/>
  <c r="CQ48" i="15" s="1"/>
  <c r="CV47" i="15"/>
  <c r="CQ71" i="15"/>
  <c r="CR71" i="15"/>
  <c r="CS71" i="15"/>
  <c r="CU71" i="15"/>
  <c r="CV71" i="15"/>
  <c r="CT71" i="15"/>
  <c r="CR72" i="15" a="1"/>
  <c r="CR72" i="15" s="1"/>
  <c r="CU72" i="15" a="1"/>
  <c r="CU72" i="15" s="1"/>
  <c r="CQ72" i="15" a="1"/>
  <c r="CQ72" i="15" s="1"/>
  <c r="CV72" i="15" a="1"/>
  <c r="CV72" i="15" s="1"/>
  <c r="CS72" i="15" a="1"/>
  <c r="CS72" i="15" s="1"/>
  <c r="CT72" i="15" a="1"/>
  <c r="CT72" i="15" s="1"/>
  <c r="AZ57" i="18"/>
  <c r="BA58" i="18"/>
  <c r="BA57" i="18"/>
  <c r="AU58" i="18"/>
  <c r="AU57" i="18"/>
  <c r="AV58" i="18"/>
  <c r="AV57" i="18"/>
  <c r="AW58" i="18"/>
  <c r="AW57" i="18"/>
  <c r="AX58" i="18"/>
  <c r="AX57" i="18"/>
  <c r="AY58" i="18"/>
  <c r="AY57" i="18"/>
  <c r="AZ58" i="18"/>
  <c r="AZ89" i="18"/>
  <c r="BA90" i="18"/>
  <c r="BA89" i="18"/>
  <c r="AU90" i="18"/>
  <c r="AU89" i="18"/>
  <c r="AV90" i="18"/>
  <c r="AV89" i="18"/>
  <c r="AW90" i="18"/>
  <c r="AW89" i="18"/>
  <c r="AX90" i="18"/>
  <c r="AX89" i="18"/>
  <c r="AY90" i="18"/>
  <c r="AY89" i="18"/>
  <c r="AZ90" i="18"/>
  <c r="CQ62" i="15"/>
  <c r="CS62" i="15"/>
  <c r="CT62" i="15"/>
  <c r="CU62" i="15"/>
  <c r="CR62" i="15"/>
  <c r="CV62" i="15"/>
  <c r="CS63" i="15" a="1"/>
  <c r="CS63" i="15" s="1"/>
  <c r="CV63" i="15" a="1"/>
  <c r="CV63" i="15" s="1"/>
  <c r="CR63" i="15" a="1"/>
  <c r="CR63" i="15" s="1"/>
  <c r="CQ63" i="15" a="1"/>
  <c r="CQ63" i="15" s="1"/>
  <c r="CU63" i="15" a="1"/>
  <c r="CU63" i="15" s="1"/>
  <c r="CT63" i="15" a="1"/>
  <c r="CT63" i="15" s="1"/>
  <c r="AU46" i="18"/>
  <c r="AU45" i="18"/>
  <c r="AV46" i="18"/>
  <c r="AV45" i="18"/>
  <c r="AW46" i="18"/>
  <c r="AW45" i="18"/>
  <c r="AX46" i="18"/>
  <c r="AX45" i="18"/>
  <c r="AY46" i="18"/>
  <c r="AY45" i="18"/>
  <c r="AZ46" i="18"/>
  <c r="AZ45" i="18"/>
  <c r="BA46" i="18"/>
  <c r="BA45" i="18"/>
  <c r="BL44" i="5"/>
  <c r="BN45" i="5" a="1"/>
  <c r="BN45" i="5" s="1"/>
  <c r="BN44" i="5"/>
  <c r="BP45" i="5" a="1"/>
  <c r="BP45" i="5" s="1"/>
  <c r="BO44" i="5"/>
  <c r="BL45" i="5" a="1"/>
  <c r="BL45" i="5" s="1"/>
  <c r="BP44" i="5"/>
  <c r="BK44" i="5"/>
  <c r="BK45" i="5" a="1"/>
  <c r="BK45" i="5" s="1"/>
  <c r="BM45" i="5" a="1"/>
  <c r="BM45" i="5" s="1"/>
  <c r="BO45" i="5" a="1"/>
  <c r="BO45" i="5" s="1"/>
  <c r="BM44" i="5"/>
  <c r="BJ44" i="5"/>
  <c r="BJ45" i="5" a="1"/>
  <c r="BJ45" i="5" s="1"/>
  <c r="DE44" i="5"/>
  <c r="DI44" i="5"/>
  <c r="DK44" i="5"/>
  <c r="DG45" i="5" a="1"/>
  <c r="DG45" i="5" s="1"/>
  <c r="DG44" i="5"/>
  <c r="DH45" i="5" a="1"/>
  <c r="DH45" i="5" s="1"/>
  <c r="DF44" i="5"/>
  <c r="DJ45" i="5" a="1"/>
  <c r="DJ45" i="5" s="1"/>
  <c r="DI45" i="5" a="1"/>
  <c r="DI45" i="5" s="1"/>
  <c r="DH44" i="5"/>
  <c r="DE45" i="5" a="1"/>
  <c r="DE45" i="5" s="1"/>
  <c r="DJ44" i="5"/>
  <c r="DF45" i="5" a="1"/>
  <c r="DF45" i="5" s="1"/>
  <c r="DK45" i="5" a="1"/>
  <c r="DK45" i="5" s="1"/>
  <c r="CB52" i="5"/>
  <c r="BL52" i="5"/>
  <c r="BN53" i="5" a="1"/>
  <c r="BN53" i="5" s="1"/>
  <c r="BM52" i="5"/>
  <c r="BO53" i="5" a="1"/>
  <c r="BO53" i="5" s="1"/>
  <c r="BP52" i="5"/>
  <c r="BM53" i="5" a="1"/>
  <c r="BM53" i="5" s="1"/>
  <c r="BP53" i="5" a="1"/>
  <c r="BP53" i="5" s="1"/>
  <c r="BO52" i="5"/>
  <c r="BK53" i="5" a="1"/>
  <c r="BK53" i="5" s="1"/>
  <c r="BK52" i="5"/>
  <c r="BL53" i="5" a="1"/>
  <c r="BL53" i="5" s="1"/>
  <c r="BN52" i="5"/>
  <c r="BJ52" i="5"/>
  <c r="BJ53" i="5" a="1"/>
  <c r="BJ53" i="5" s="1"/>
  <c r="DJ53" i="5" a="1"/>
  <c r="DJ53" i="5" s="1"/>
  <c r="DG52" i="5"/>
  <c r="DI53" i="5" a="1"/>
  <c r="DI53" i="5" s="1"/>
  <c r="DE53" i="5" a="1"/>
  <c r="DE53" i="5" s="1"/>
  <c r="DF52" i="5"/>
  <c r="DE52" i="5"/>
  <c r="DI52" i="5"/>
  <c r="DJ52" i="5"/>
  <c r="DK52" i="5"/>
  <c r="DG53" i="5" a="1"/>
  <c r="DG53" i="5" s="1"/>
  <c r="DF53" i="5" a="1"/>
  <c r="DF53" i="5" s="1"/>
  <c r="DH53" i="5" a="1"/>
  <c r="DH53" i="5" s="1"/>
  <c r="DK53" i="5" a="1"/>
  <c r="DK53" i="5" s="1"/>
  <c r="DH52" i="5"/>
  <c r="DF77" i="5"/>
  <c r="BJ77" i="5"/>
  <c r="BL78" i="5" a="1"/>
  <c r="BL78" i="5" s="1"/>
  <c r="BK77" i="5"/>
  <c r="DG77" i="5"/>
  <c r="DH77" i="5"/>
  <c r="DJ77" i="5"/>
  <c r="BN77" i="5"/>
  <c r="BP78" i="5" a="1"/>
  <c r="BP78" i="5" s="1"/>
  <c r="BM78" i="5" a="1"/>
  <c r="BM78" i="5" s="1"/>
  <c r="BN78" i="5" a="1"/>
  <c r="BN78" i="5" s="1"/>
  <c r="BO77" i="5"/>
  <c r="DE77" i="5"/>
  <c r="BO78" i="5" a="1"/>
  <c r="BO78" i="5" s="1"/>
  <c r="BL77" i="5"/>
  <c r="BP77" i="5"/>
  <c r="DI77" i="5"/>
  <c r="DK77" i="5"/>
  <c r="BM77" i="5"/>
  <c r="BK78" i="5" a="1"/>
  <c r="BK78" i="5" s="1"/>
  <c r="BJ78" i="5" a="1"/>
  <c r="BJ78" i="5" s="1"/>
  <c r="DK78" i="5" a="1"/>
  <c r="DK78" i="5" s="1"/>
  <c r="DG78" i="5" a="1"/>
  <c r="DG78" i="5" s="1"/>
  <c r="DI78" i="5" a="1"/>
  <c r="DI78" i="5" s="1"/>
  <c r="DH78" i="5" a="1"/>
  <c r="DH78" i="5" s="1"/>
  <c r="DF78" i="5" a="1"/>
  <c r="DF78" i="5" s="1"/>
  <c r="DJ78" i="5" a="1"/>
  <c r="DJ78" i="5" s="1"/>
  <c r="DE78" i="5" a="1"/>
  <c r="DE78" i="5" s="1"/>
  <c r="CT50" i="15"/>
  <c r="CV50" i="15"/>
  <c r="CQ51" i="15" a="1"/>
  <c r="CQ51" i="15" s="1"/>
  <c r="CS50" i="15"/>
  <c r="CR51" i="15" a="1"/>
  <c r="CR51" i="15" s="1"/>
  <c r="CT51" i="15" a="1"/>
  <c r="CT51" i="15" s="1"/>
  <c r="CU51" i="15" a="1"/>
  <c r="CU51" i="15" s="1"/>
  <c r="CV51" i="15" a="1"/>
  <c r="CV51" i="15" s="1"/>
  <c r="CS51" i="15" a="1"/>
  <c r="CS51" i="15" s="1"/>
  <c r="CU50" i="15"/>
  <c r="CQ50" i="15"/>
  <c r="CR50" i="15"/>
  <c r="CQ74" i="15"/>
  <c r="CS74" i="15"/>
  <c r="CT74" i="15"/>
  <c r="CU74" i="15"/>
  <c r="CR74" i="15"/>
  <c r="CV74" i="15"/>
  <c r="CS75" i="15" a="1"/>
  <c r="CS75" i="15" s="1"/>
  <c r="CT75" i="15" a="1"/>
  <c r="CT75" i="15" s="1"/>
  <c r="CQ75" i="15" a="1"/>
  <c r="CQ75" i="15" s="1"/>
  <c r="CV75" i="15" a="1"/>
  <c r="CV75" i="15" s="1"/>
  <c r="CU75" i="15" a="1"/>
  <c r="CU75" i="15" s="1"/>
  <c r="CR75" i="15" a="1"/>
  <c r="CR75" i="15" s="1"/>
  <c r="AX37" i="18"/>
  <c r="AY38" i="18"/>
  <c r="AY37" i="18"/>
  <c r="AZ38" i="18"/>
  <c r="AZ37" i="18"/>
  <c r="BA38" i="18"/>
  <c r="BA37" i="18"/>
  <c r="AU38" i="18"/>
  <c r="AU37" i="18"/>
  <c r="AV38" i="18"/>
  <c r="AV37" i="18"/>
  <c r="AW38" i="18"/>
  <c r="AW37" i="18"/>
  <c r="AX38" i="18"/>
  <c r="AU62" i="18"/>
  <c r="AU61" i="18"/>
  <c r="AV62" i="18"/>
  <c r="AV61" i="18"/>
  <c r="AW62" i="18"/>
  <c r="AW61" i="18"/>
  <c r="AX62" i="18"/>
  <c r="AX61" i="18"/>
  <c r="AY62" i="18"/>
  <c r="AY61" i="18"/>
  <c r="AZ62" i="18"/>
  <c r="AZ61" i="18"/>
  <c r="BA62" i="18"/>
  <c r="BA61" i="18"/>
  <c r="AU94" i="18"/>
  <c r="AU93" i="18"/>
  <c r="AV94" i="18"/>
  <c r="AV93" i="18"/>
  <c r="AW94" i="18"/>
  <c r="AW93" i="18"/>
  <c r="AX94" i="18"/>
  <c r="AX93" i="18"/>
  <c r="AY94" i="18"/>
  <c r="AY93" i="18"/>
  <c r="AZ94" i="18"/>
  <c r="AZ93" i="18"/>
  <c r="BA94" i="18"/>
  <c r="BA93" i="18"/>
  <c r="BP57" i="5"/>
  <c r="BK58" i="5" a="1"/>
  <c r="BK58" i="5" s="1"/>
  <c r="BL57" i="5"/>
  <c r="BN58" i="5" a="1"/>
  <c r="BN58" i="5" s="1"/>
  <c r="BO58" i="5" a="1"/>
  <c r="BO58" i="5" s="1"/>
  <c r="BL58" i="5" a="1"/>
  <c r="BL58" i="5" s="1"/>
  <c r="BM58" i="5" a="1"/>
  <c r="BM58" i="5" s="1"/>
  <c r="BP58" i="5" a="1"/>
  <c r="BP58" i="5" s="1"/>
  <c r="BO57" i="5"/>
  <c r="BK57" i="5"/>
  <c r="BM57" i="5"/>
  <c r="BN57" i="5"/>
  <c r="BJ57" i="5"/>
  <c r="BJ58" i="5" a="1"/>
  <c r="BJ58" i="5" s="1"/>
  <c r="DI58" i="5" a="1"/>
  <c r="DI58" i="5" s="1"/>
  <c r="DK57" i="5"/>
  <c r="DF58" i="5" a="1"/>
  <c r="DF58" i="5" s="1"/>
  <c r="DH58" i="5" a="1"/>
  <c r="DH58" i="5" s="1"/>
  <c r="DE58" i="5" a="1"/>
  <c r="DE58" i="5" s="1"/>
  <c r="DK58" i="5" a="1"/>
  <c r="DK58" i="5" s="1"/>
  <c r="DJ57" i="5"/>
  <c r="DG57" i="5"/>
  <c r="DF57" i="5"/>
  <c r="DH57" i="5"/>
  <c r="DJ58" i="5" a="1"/>
  <c r="DJ58" i="5" s="1"/>
  <c r="DE57" i="5"/>
  <c r="DG58" i="5" a="1"/>
  <c r="DG58" i="5" s="1"/>
  <c r="DI57" i="5"/>
  <c r="DE80" i="5"/>
  <c r="DG80" i="5"/>
  <c r="BM80" i="5"/>
  <c r="BO81" i="5" a="1"/>
  <c r="BO81" i="5" s="1"/>
  <c r="DH80" i="5"/>
  <c r="DI80" i="5"/>
  <c r="DK80" i="5"/>
  <c r="BK81" i="5" a="1"/>
  <c r="BK81" i="5" s="1"/>
  <c r="BP80" i="5"/>
  <c r="BL81" i="5" a="1"/>
  <c r="BL81" i="5" s="1"/>
  <c r="DJ80" i="5"/>
  <c r="BN80" i="5"/>
  <c r="BM81" i="5" a="1"/>
  <c r="BM81" i="5" s="1"/>
  <c r="BJ80" i="5"/>
  <c r="BN81" i="5" a="1"/>
  <c r="BN81" i="5" s="1"/>
  <c r="DF80" i="5"/>
  <c r="BO80" i="5"/>
  <c r="BK80" i="5"/>
  <c r="BP81" i="5" a="1"/>
  <c r="BP81" i="5" s="1"/>
  <c r="BL80" i="5"/>
  <c r="BJ81" i="5" a="1"/>
  <c r="BJ81" i="5" s="1"/>
  <c r="DF81" i="5" a="1"/>
  <c r="DF81" i="5" s="1"/>
  <c r="DJ81" i="5" a="1"/>
  <c r="DJ81" i="5" s="1"/>
  <c r="DE81" i="5" a="1"/>
  <c r="DE81" i="5" s="1"/>
  <c r="DK81" i="5" a="1"/>
  <c r="DK81" i="5" s="1"/>
  <c r="DG81" i="5" a="1"/>
  <c r="DG81" i="5" s="1"/>
  <c r="DI81" i="5" a="1"/>
  <c r="DI81" i="5" s="1"/>
  <c r="DH81" i="5" a="1"/>
  <c r="DH81" i="5" s="1"/>
  <c r="CQ53" i="15"/>
  <c r="CV53" i="15"/>
  <c r="CT54" i="15" a="1"/>
  <c r="CT54" i="15" s="1"/>
  <c r="CS53" i="15"/>
  <c r="CS54" i="15" a="1"/>
  <c r="CS54" i="15" s="1"/>
  <c r="CR53" i="15"/>
  <c r="CQ54" i="15" a="1"/>
  <c r="CQ54" i="15" s="1"/>
  <c r="CV54" i="15" a="1"/>
  <c r="CV54" i="15" s="1"/>
  <c r="CU53" i="15"/>
  <c r="CT53" i="15"/>
  <c r="CU54" i="15" a="1"/>
  <c r="CU54" i="15" s="1"/>
  <c r="CR54" i="15" a="1"/>
  <c r="CR54" i="15" s="1"/>
  <c r="CS77" i="15"/>
  <c r="CU77" i="15"/>
  <c r="CV77" i="15"/>
  <c r="CQ77" i="15"/>
  <c r="CR77" i="15"/>
  <c r="CT77" i="15"/>
  <c r="CS78" i="15" a="1"/>
  <c r="CS78" i="15" s="1"/>
  <c r="CR78" i="15" a="1"/>
  <c r="CR78" i="15" s="1"/>
  <c r="CQ78" i="15" a="1"/>
  <c r="CQ78" i="15" s="1"/>
  <c r="CV78" i="15" a="1"/>
  <c r="CV78" i="15" s="1"/>
  <c r="CT78" i="15" a="1"/>
  <c r="CT78" i="15" s="1"/>
  <c r="CU78" i="15" a="1"/>
  <c r="CU78" i="15" s="1"/>
  <c r="AV65" i="18"/>
  <c r="AW66" i="18"/>
  <c r="AW65" i="18"/>
  <c r="AX66" i="18"/>
  <c r="AX65" i="18"/>
  <c r="AY66" i="18"/>
  <c r="AY65" i="18"/>
  <c r="AZ66" i="18"/>
  <c r="AZ65" i="18"/>
  <c r="BA66" i="18"/>
  <c r="BA65" i="18"/>
  <c r="AU66" i="18"/>
  <c r="AU65" i="18"/>
  <c r="AV66" i="18"/>
  <c r="AV97" i="18"/>
  <c r="AW98" i="18"/>
  <c r="AW97" i="18"/>
  <c r="AX98" i="18"/>
  <c r="AX97" i="18"/>
  <c r="AY98" i="18"/>
  <c r="AY97" i="18"/>
  <c r="AZ98" i="18"/>
  <c r="AZ97" i="18"/>
  <c r="BA98" i="18"/>
  <c r="BA97" i="18"/>
  <c r="AU98" i="18"/>
  <c r="AU97" i="18"/>
  <c r="AV98" i="18"/>
  <c r="DJ71" i="5"/>
  <c r="BL71" i="5"/>
  <c r="BN72" i="5" a="1"/>
  <c r="BN72" i="5" s="1"/>
  <c r="DE71" i="5"/>
  <c r="BM71" i="5"/>
  <c r="BO72" i="5" a="1"/>
  <c r="BO72" i="5" s="1"/>
  <c r="DF71" i="5"/>
  <c r="DH71" i="5"/>
  <c r="BP71" i="5"/>
  <c r="BM72" i="5" a="1"/>
  <c r="BM72" i="5" s="1"/>
  <c r="BP72" i="5" a="1"/>
  <c r="BP72" i="5" s="1"/>
  <c r="BK72" i="5" a="1"/>
  <c r="BK72" i="5" s="1"/>
  <c r="BJ71" i="5"/>
  <c r="BK71" i="5"/>
  <c r="DK71" i="5"/>
  <c r="BL72" i="5" a="1"/>
  <c r="BL72" i="5" s="1"/>
  <c r="DG71" i="5"/>
  <c r="BN71" i="5"/>
  <c r="BO71" i="5"/>
  <c r="DI71" i="5"/>
  <c r="BJ72" i="5" a="1"/>
  <c r="BJ72" i="5" s="1"/>
  <c r="DG72" i="5" a="1"/>
  <c r="DG72" i="5" s="1"/>
  <c r="DJ72" i="5" a="1"/>
  <c r="DJ72" i="5" s="1"/>
  <c r="DF72" i="5" a="1"/>
  <c r="DF72" i="5" s="1"/>
  <c r="DI72" i="5" a="1"/>
  <c r="DI72" i="5" s="1"/>
  <c r="DE72" i="5" a="1"/>
  <c r="DE72" i="5" s="1"/>
  <c r="DH72" i="5" a="1"/>
  <c r="DH72" i="5" s="1"/>
  <c r="DK72" i="5" a="1"/>
  <c r="DK72" i="5" s="1"/>
  <c r="BK60" i="5"/>
  <c r="BM61" i="5" a="1"/>
  <c r="BM61" i="5" s="1"/>
  <c r="BL60" i="5"/>
  <c r="BN61" i="5" a="1"/>
  <c r="BN61" i="5" s="1"/>
  <c r="BO60" i="5"/>
  <c r="BO61" i="5" a="1"/>
  <c r="BO61" i="5" s="1"/>
  <c r="BP61" i="5" a="1"/>
  <c r="BP61" i="5" s="1"/>
  <c r="BJ60" i="5"/>
  <c r="BM60" i="5"/>
  <c r="BK61" i="5" a="1"/>
  <c r="BK61" i="5" s="1"/>
  <c r="BN60" i="5"/>
  <c r="BP60" i="5"/>
  <c r="BL61" i="5" a="1"/>
  <c r="BL61" i="5" s="1"/>
  <c r="BJ61" i="5" a="1"/>
  <c r="BJ61" i="5" s="1"/>
  <c r="DJ61" i="5" a="1"/>
  <c r="DJ61" i="5" s="1"/>
  <c r="DJ60" i="5"/>
  <c r="DF60" i="5"/>
  <c r="DH60" i="5"/>
  <c r="DK60" i="5"/>
  <c r="DG61" i="5" a="1"/>
  <c r="DG61" i="5" s="1"/>
  <c r="DI60" i="5"/>
  <c r="DK61" i="5" a="1"/>
  <c r="DK61" i="5" s="1"/>
  <c r="DE61" i="5" a="1"/>
  <c r="DE61" i="5" s="1"/>
  <c r="DF61" i="5" a="1"/>
  <c r="DF61" i="5" s="1"/>
  <c r="DH61" i="5" a="1"/>
  <c r="DH61" i="5" s="1"/>
  <c r="DE60" i="5"/>
  <c r="DG60" i="5"/>
  <c r="DI61" i="5" a="1"/>
  <c r="DI61" i="5" s="1"/>
  <c r="DF83" i="5"/>
  <c r="DH83" i="5"/>
  <c r="BP83" i="5"/>
  <c r="DI83" i="5"/>
  <c r="DJ83" i="5"/>
  <c r="BL83" i="5"/>
  <c r="BN84" i="5" a="1"/>
  <c r="BN84" i="5" s="1"/>
  <c r="DG83" i="5"/>
  <c r="BN83" i="5"/>
  <c r="DK83" i="5"/>
  <c r="BO83" i="5"/>
  <c r="BJ83" i="5"/>
  <c r="BO84" i="5" a="1"/>
  <c r="BO84" i="5" s="1"/>
  <c r="BK84" i="5" a="1"/>
  <c r="BK84" i="5" s="1"/>
  <c r="BL84" i="5" a="1"/>
  <c r="BL84" i="5" s="1"/>
  <c r="BK83" i="5"/>
  <c r="DE83" i="5"/>
  <c r="BM83" i="5"/>
  <c r="BM84" i="5" a="1"/>
  <c r="BM84" i="5" s="1"/>
  <c r="BP84" i="5" a="1"/>
  <c r="BP84" i="5" s="1"/>
  <c r="BJ84" i="5" a="1"/>
  <c r="BJ84" i="5" s="1"/>
  <c r="DF84" i="5" a="1"/>
  <c r="DF84" i="5" s="1"/>
  <c r="DG84" i="5" a="1"/>
  <c r="DG84" i="5" s="1"/>
  <c r="DJ84" i="5" a="1"/>
  <c r="DJ84" i="5" s="1"/>
  <c r="DK84" i="5" a="1"/>
  <c r="DK84" i="5" s="1"/>
  <c r="DI84" i="5" a="1"/>
  <c r="DI84" i="5" s="1"/>
  <c r="DH84" i="5" a="1"/>
  <c r="DH84" i="5" s="1"/>
  <c r="DE84" i="5" a="1"/>
  <c r="DE84" i="5" s="1"/>
  <c r="CU56" i="15"/>
  <c r="CR57" i="15" a="1"/>
  <c r="CR57" i="15" s="1"/>
  <c r="CV57" i="15" a="1"/>
  <c r="CV57" i="15" s="1"/>
  <c r="CT57" i="15" a="1"/>
  <c r="CT57" i="15" s="1"/>
  <c r="CV56" i="15"/>
  <c r="CU57" i="15" a="1"/>
  <c r="CU57" i="15" s="1"/>
  <c r="CQ56" i="15"/>
  <c r="CT56" i="15"/>
  <c r="CQ57" i="15" a="1"/>
  <c r="CQ57" i="15" s="1"/>
  <c r="CS56" i="15"/>
  <c r="CS57" i="15" a="1"/>
  <c r="CS57" i="15" s="1"/>
  <c r="CR56" i="15"/>
  <c r="CU80" i="15"/>
  <c r="CQ80" i="15"/>
  <c r="CS80" i="15"/>
  <c r="CT80" i="15"/>
  <c r="CV80" i="15"/>
  <c r="CR80" i="15"/>
  <c r="CS81" i="15" a="1"/>
  <c r="CS81" i="15" s="1"/>
  <c r="CU81" i="15" a="1"/>
  <c r="CU81" i="15" s="1"/>
  <c r="CT81" i="15" a="1"/>
  <c r="CT81" i="15" s="1"/>
  <c r="CQ81" i="15" a="1"/>
  <c r="CQ81" i="15" s="1"/>
  <c r="CR81" i="15" a="1"/>
  <c r="CR81" i="15" s="1"/>
  <c r="CV81" i="15" a="1"/>
  <c r="CV81" i="15" s="1"/>
  <c r="AL69" i="18"/>
  <c r="AX69" i="18"/>
  <c r="AY70" i="18"/>
  <c r="AY69" i="18"/>
  <c r="AZ70" i="18"/>
  <c r="AZ69" i="18"/>
  <c r="BA70" i="18"/>
  <c r="BA69" i="18"/>
  <c r="AU70" i="18"/>
  <c r="AU69" i="18"/>
  <c r="AV70" i="18"/>
  <c r="AV69" i="18"/>
  <c r="AW70" i="18"/>
  <c r="AW69" i="18"/>
  <c r="AX70" i="18"/>
  <c r="CS38" i="15"/>
  <c r="CT38" i="15"/>
  <c r="CU39" i="15" a="1"/>
  <c r="CU39" i="15" s="1"/>
  <c r="CS39" i="15" a="1"/>
  <c r="CS39" i="15" s="1"/>
  <c r="CU38" i="15"/>
  <c r="CT39" i="15" a="1"/>
  <c r="CT39" i="15" s="1"/>
  <c r="CR39" i="15" a="1"/>
  <c r="CR39" i="15" s="1"/>
  <c r="CV38" i="15"/>
  <c r="CR38" i="15"/>
  <c r="CQ38" i="15"/>
  <c r="CV39" i="15" a="1"/>
  <c r="CV39" i="15" s="1"/>
  <c r="CQ39" i="15" a="1"/>
  <c r="CQ39" i="15" s="1"/>
  <c r="CV44" i="15"/>
  <c r="CU45" i="15" a="1"/>
  <c r="CU45" i="15" s="1"/>
  <c r="CQ44" i="15"/>
  <c r="CR45" i="15" a="1"/>
  <c r="CR45" i="15" s="1"/>
  <c r="CU44" i="15"/>
  <c r="CR44" i="15"/>
  <c r="CS44" i="15"/>
  <c r="CS45" i="15" a="1"/>
  <c r="CS45" i="15" s="1"/>
  <c r="CQ45" i="15" a="1"/>
  <c r="CQ45" i="15" s="1"/>
  <c r="CT45" i="15" a="1"/>
  <c r="CT45" i="15" s="1"/>
  <c r="CV45" i="15" a="1"/>
  <c r="CV45" i="15" s="1"/>
  <c r="CT44" i="15"/>
  <c r="BN65" i="5"/>
  <c r="BP66" i="5" a="1"/>
  <c r="BP66" i="5" s="1"/>
  <c r="BO65" i="5"/>
  <c r="BJ65" i="5"/>
  <c r="BL66" i="5" a="1"/>
  <c r="BL66" i="5" s="1"/>
  <c r="BN66" i="5" a="1"/>
  <c r="BN66" i="5" s="1"/>
  <c r="BO66" i="5" a="1"/>
  <c r="BO66" i="5" s="1"/>
  <c r="BP65" i="5"/>
  <c r="BK65" i="5"/>
  <c r="BL65" i="5"/>
  <c r="BM66" i="5" a="1"/>
  <c r="BM66" i="5" s="1"/>
  <c r="BM65" i="5"/>
  <c r="BK66" i="5" a="1"/>
  <c r="BK66" i="5" s="1"/>
  <c r="BJ66" i="5" a="1"/>
  <c r="BJ66" i="5" s="1"/>
  <c r="DG66" i="5" a="1"/>
  <c r="DG66" i="5" s="1"/>
  <c r="DF66" i="5" a="1"/>
  <c r="DF66" i="5" s="1"/>
  <c r="DI66" i="5" a="1"/>
  <c r="DI66" i="5" s="1"/>
  <c r="DG65" i="5"/>
  <c r="DI65" i="5"/>
  <c r="DH66" i="5" a="1"/>
  <c r="DH66" i="5" s="1"/>
  <c r="DJ65" i="5"/>
  <c r="DE66" i="5" a="1"/>
  <c r="DE66" i="5" s="1"/>
  <c r="DE65" i="5"/>
  <c r="DF65" i="5"/>
  <c r="DK66" i="5" a="1"/>
  <c r="DK66" i="5" s="1"/>
  <c r="DK65" i="5"/>
  <c r="DH65" i="5"/>
  <c r="DJ66" i="5" a="1"/>
  <c r="DJ66" i="5" s="1"/>
  <c r="DG86" i="5"/>
  <c r="DI86" i="5"/>
  <c r="BK86" i="5"/>
  <c r="BM87" i="5" a="1"/>
  <c r="BM87" i="5" s="1"/>
  <c r="DJ86" i="5"/>
  <c r="DK86" i="5"/>
  <c r="DE86" i="5"/>
  <c r="BL86" i="5"/>
  <c r="BO87" i="5" a="1"/>
  <c r="BO87" i="5" s="1"/>
  <c r="BP87" i="5" a="1"/>
  <c r="BP87" i="5" s="1"/>
  <c r="BM86" i="5"/>
  <c r="BL87" i="5" a="1"/>
  <c r="BL87" i="5" s="1"/>
  <c r="DF86" i="5"/>
  <c r="BN86" i="5"/>
  <c r="BO86" i="5"/>
  <c r="BJ86" i="5"/>
  <c r="BN87" i="5" a="1"/>
  <c r="BN87" i="5" s="1"/>
  <c r="DH86" i="5"/>
  <c r="BP86" i="5"/>
  <c r="BK87" i="5" a="1"/>
  <c r="BK87" i="5" s="1"/>
  <c r="BJ87" i="5" a="1"/>
  <c r="BJ87" i="5" s="1"/>
  <c r="DK87" i="5" a="1"/>
  <c r="DK87" i="5" s="1"/>
  <c r="DE87" i="5" a="1"/>
  <c r="DE87" i="5" s="1"/>
  <c r="DH87" i="5" a="1"/>
  <c r="DH87" i="5" s="1"/>
  <c r="DG87" i="5" a="1"/>
  <c r="DG87" i="5" s="1"/>
  <c r="DJ87" i="5" a="1"/>
  <c r="DJ87" i="5" s="1"/>
  <c r="DF87" i="5" a="1"/>
  <c r="DF87" i="5" s="1"/>
  <c r="DI87" i="5" a="1"/>
  <c r="DI87" i="5" s="1"/>
  <c r="CT35" i="15"/>
  <c r="CR36" i="15" a="1"/>
  <c r="CR36" i="15" s="1"/>
  <c r="CS36" i="15" a="1"/>
  <c r="CS36" i="15" s="1"/>
  <c r="CU35" i="15"/>
  <c r="CV35" i="15"/>
  <c r="CR35" i="15"/>
  <c r="CS35" i="15"/>
  <c r="CU36" i="15" a="1"/>
  <c r="CU36" i="15" s="1"/>
  <c r="CQ36" i="15" a="1"/>
  <c r="CQ36" i="15" s="1"/>
  <c r="CQ35" i="15"/>
  <c r="CT36" i="15" a="1"/>
  <c r="CT36" i="15" s="1"/>
  <c r="CV36" i="15" a="1"/>
  <c r="CV36" i="15" s="1"/>
  <c r="CT59" i="15"/>
  <c r="CR60" i="15" a="1"/>
  <c r="CR60" i="15" s="1"/>
  <c r="CU60" i="15" a="1"/>
  <c r="CU60" i="15" s="1"/>
  <c r="CV59" i="15"/>
  <c r="CS59" i="15"/>
  <c r="CQ59" i="15"/>
  <c r="CR59" i="15"/>
  <c r="CT60" i="15" a="1"/>
  <c r="CT60" i="15" s="1"/>
  <c r="CU59" i="15"/>
  <c r="CS60" i="15" a="1"/>
  <c r="CS60" i="15" s="1"/>
  <c r="CQ60" i="15" a="1"/>
  <c r="CQ60" i="15" s="1"/>
  <c r="CV60" i="15" a="1"/>
  <c r="CV60" i="15" s="1"/>
  <c r="AZ41" i="18"/>
  <c r="BA42" i="18"/>
  <c r="BA41" i="18"/>
  <c r="AU42" i="18"/>
  <c r="AU41" i="18"/>
  <c r="AV42" i="18"/>
  <c r="AV41" i="18"/>
  <c r="AW42" i="18"/>
  <c r="AW41" i="18"/>
  <c r="AX42" i="18"/>
  <c r="AX41" i="18"/>
  <c r="AY42" i="18"/>
  <c r="AY41" i="18"/>
  <c r="AZ42" i="18"/>
  <c r="AZ73" i="18"/>
  <c r="BA74" i="18"/>
  <c r="BA73" i="18"/>
  <c r="AU74" i="18"/>
  <c r="AU73" i="18"/>
  <c r="AV74" i="18"/>
  <c r="AV73" i="18"/>
  <c r="AW74" i="18"/>
  <c r="AW73" i="18"/>
  <c r="AX74" i="18"/>
  <c r="AX73" i="18"/>
  <c r="AY74" i="18"/>
  <c r="AY73" i="18"/>
  <c r="AZ74" i="18"/>
  <c r="AL49" i="18"/>
  <c r="AL50" i="18"/>
  <c r="AL53" i="18"/>
  <c r="AL54" i="18"/>
  <c r="AL37" i="18"/>
  <c r="AL38" i="18"/>
  <c r="AL45" i="18"/>
  <c r="AL46" i="18"/>
  <c r="AL61" i="18"/>
  <c r="AL62" i="18"/>
  <c r="AL65" i="18"/>
  <c r="AL66" i="18"/>
  <c r="AL41" i="18"/>
  <c r="AL42" i="18"/>
  <c r="AL57" i="18"/>
  <c r="AL58" i="18"/>
  <c r="BA35" i="15"/>
  <c r="AY36" i="15" a="1"/>
  <c r="AY36" i="15" s="1"/>
  <c r="BB36" i="15" a="1"/>
  <c r="BB36" i="15" s="1"/>
  <c r="AX35" i="15"/>
  <c r="BB35" i="15"/>
  <c r="BC36" i="15" a="1"/>
  <c r="BC36" i="15" s="1"/>
  <c r="AY35" i="15"/>
  <c r="BC35" i="15"/>
  <c r="AZ36" i="15" a="1"/>
  <c r="AZ36" i="15" s="1"/>
  <c r="AZ35" i="15"/>
  <c r="AX36" i="15" a="1"/>
  <c r="AX36" i="15" s="1"/>
  <c r="BA36" i="15" a="1"/>
  <c r="BA36" i="15" s="1"/>
  <c r="BA47" i="15"/>
  <c r="AY48" i="15" a="1"/>
  <c r="AY48" i="15" s="1"/>
  <c r="BB48" i="15" a="1"/>
  <c r="BB48" i="15" s="1"/>
  <c r="AX47" i="15"/>
  <c r="BB47" i="15"/>
  <c r="BC48" i="15" a="1"/>
  <c r="BC48" i="15" s="1"/>
  <c r="AY47" i="15"/>
  <c r="BC47" i="15"/>
  <c r="AZ48" i="15" a="1"/>
  <c r="AZ48" i="15" s="1"/>
  <c r="AZ47" i="15"/>
  <c r="AX48" i="15" a="1"/>
  <c r="AX48" i="15" s="1"/>
  <c r="BA48" i="15" a="1"/>
  <c r="BA48" i="15" s="1"/>
  <c r="BA59" i="15"/>
  <c r="AY60" i="15" a="1"/>
  <c r="AY60" i="15" s="1"/>
  <c r="BB60" i="15" a="1"/>
  <c r="BB60" i="15" s="1"/>
  <c r="AX59" i="15"/>
  <c r="AY59" i="15"/>
  <c r="BC59" i="15"/>
  <c r="AZ60" i="15" a="1"/>
  <c r="AZ60" i="15" s="1"/>
  <c r="AX60" i="15" a="1"/>
  <c r="AX60" i="15" s="1"/>
  <c r="AZ59" i="15"/>
  <c r="BA60" i="15" a="1"/>
  <c r="BA60" i="15" s="1"/>
  <c r="BB59" i="15"/>
  <c r="BC60" i="15" a="1"/>
  <c r="BC60" i="15" s="1"/>
  <c r="BA71" i="15"/>
  <c r="AY72" i="15" a="1"/>
  <c r="AY72" i="15" s="1"/>
  <c r="BB72" i="15" a="1"/>
  <c r="BB72" i="15" s="1"/>
  <c r="AY71" i="15"/>
  <c r="BC71" i="15"/>
  <c r="AZ72" i="15" a="1"/>
  <c r="AZ72" i="15" s="1"/>
  <c r="AX72" i="15" a="1"/>
  <c r="AX72" i="15" s="1"/>
  <c r="AX71" i="15"/>
  <c r="AZ71" i="15"/>
  <c r="BA72" i="15" a="1"/>
  <c r="BA72" i="15" s="1"/>
  <c r="BB71" i="15"/>
  <c r="BC72" i="15" a="1"/>
  <c r="BC72" i="15" s="1"/>
  <c r="AY38" i="15"/>
  <c r="BC38" i="15"/>
  <c r="AZ39" i="15" a="1"/>
  <c r="AZ39" i="15" s="1"/>
  <c r="BC39" i="15" a="1"/>
  <c r="BC39" i="15" s="1"/>
  <c r="AZ38" i="15"/>
  <c r="AX39" i="15" a="1"/>
  <c r="AX39" i="15" s="1"/>
  <c r="BA39" i="15" a="1"/>
  <c r="BA39" i="15" s="1"/>
  <c r="BA38" i="15"/>
  <c r="BB39" i="15" a="1"/>
  <c r="BB39" i="15" s="1"/>
  <c r="AX38" i="15"/>
  <c r="BB38" i="15"/>
  <c r="AY39" i="15" a="1"/>
  <c r="AY39" i="15" s="1"/>
  <c r="AY50" i="15"/>
  <c r="BC50" i="15"/>
  <c r="AZ51" i="15" a="1"/>
  <c r="AZ51" i="15" s="1"/>
  <c r="BC51" i="15" a="1"/>
  <c r="BC51" i="15" s="1"/>
  <c r="AZ50" i="15"/>
  <c r="AX51" i="15" a="1"/>
  <c r="AX51" i="15" s="1"/>
  <c r="BA51" i="15" a="1"/>
  <c r="BA51" i="15" s="1"/>
  <c r="BA50" i="15"/>
  <c r="BB51" i="15" a="1"/>
  <c r="BB51" i="15" s="1"/>
  <c r="AX50" i="15"/>
  <c r="BB50" i="15"/>
  <c r="AY51" i="15" a="1"/>
  <c r="AY51" i="15" s="1"/>
  <c r="AY62" i="15"/>
  <c r="BC62" i="15"/>
  <c r="AZ63" i="15" a="1"/>
  <c r="AZ63" i="15" s="1"/>
  <c r="BC63" i="15" a="1"/>
  <c r="BC63" i="15" s="1"/>
  <c r="BA62" i="15"/>
  <c r="BB63" i="15" a="1"/>
  <c r="BB63" i="15" s="1"/>
  <c r="AX62" i="15"/>
  <c r="AY63" i="15" a="1"/>
  <c r="AY63" i="15" s="1"/>
  <c r="AZ62" i="15"/>
  <c r="BA63" i="15" a="1"/>
  <c r="BA63" i="15" s="1"/>
  <c r="BB62" i="15"/>
  <c r="AX63" i="15" a="1"/>
  <c r="AX63" i="15" s="1"/>
  <c r="AY74" i="15"/>
  <c r="BC74" i="15"/>
  <c r="AZ75" i="15" a="1"/>
  <c r="AZ75" i="15" s="1"/>
  <c r="BC75" i="15" a="1"/>
  <c r="BC75" i="15" s="1"/>
  <c r="BA74" i="15"/>
  <c r="BB75" i="15" a="1"/>
  <c r="BB75" i="15" s="1"/>
  <c r="AX74" i="15"/>
  <c r="AY75" i="15" a="1"/>
  <c r="AY75" i="15" s="1"/>
  <c r="AZ74" i="15"/>
  <c r="BA75" i="15" a="1"/>
  <c r="BA75" i="15" s="1"/>
  <c r="BB74" i="15"/>
  <c r="AX75" i="15" a="1"/>
  <c r="AX75" i="15" s="1"/>
  <c r="BA41" i="15"/>
  <c r="AY42" i="15" a="1"/>
  <c r="AY42" i="15" s="1"/>
  <c r="BB42" i="15" a="1"/>
  <c r="BB42" i="15" s="1"/>
  <c r="AX41" i="15"/>
  <c r="BB41" i="15"/>
  <c r="BC42" i="15" a="1"/>
  <c r="BC42" i="15" s="1"/>
  <c r="AY41" i="15"/>
  <c r="BC41" i="15"/>
  <c r="AZ42" i="15" a="1"/>
  <c r="AZ42" i="15" s="1"/>
  <c r="AZ41" i="15"/>
  <c r="AX42" i="15" a="1"/>
  <c r="AX42" i="15" s="1"/>
  <c r="BA42" i="15" a="1"/>
  <c r="BA42" i="15" s="1"/>
  <c r="BA53" i="15"/>
  <c r="AY54" i="15" a="1"/>
  <c r="AY54" i="15" s="1"/>
  <c r="BB54" i="15" a="1"/>
  <c r="BB54" i="15" s="1"/>
  <c r="AX53" i="15"/>
  <c r="BB53" i="15"/>
  <c r="BC54" i="15" a="1"/>
  <c r="BC54" i="15" s="1"/>
  <c r="AY53" i="15"/>
  <c r="BC53" i="15"/>
  <c r="AZ54" i="15" a="1"/>
  <c r="AZ54" i="15" s="1"/>
  <c r="AZ53" i="15"/>
  <c r="AX54" i="15" a="1"/>
  <c r="AX54" i="15" s="1"/>
  <c r="BA54" i="15" a="1"/>
  <c r="BA54" i="15" s="1"/>
  <c r="BA65" i="15"/>
  <c r="AY66" i="15" a="1"/>
  <c r="AY66" i="15" s="1"/>
  <c r="BB66" i="15" a="1"/>
  <c r="BB66" i="15" s="1"/>
  <c r="AY65" i="15"/>
  <c r="BC65" i="15"/>
  <c r="AZ66" i="15" a="1"/>
  <c r="AZ66" i="15" s="1"/>
  <c r="AZ65" i="15"/>
  <c r="BA66" i="15" a="1"/>
  <c r="BA66" i="15" s="1"/>
  <c r="BB65" i="15"/>
  <c r="BC66" i="15" a="1"/>
  <c r="BC66" i="15" s="1"/>
  <c r="AX66" i="15" a="1"/>
  <c r="AX66" i="15" s="1"/>
  <c r="AX65" i="15"/>
  <c r="BA77" i="15"/>
  <c r="AY78" i="15" a="1"/>
  <c r="AY78" i="15" s="1"/>
  <c r="BB78" i="15" a="1"/>
  <c r="BB78" i="15" s="1"/>
  <c r="AY77" i="15"/>
  <c r="BC77" i="15"/>
  <c r="AZ78" i="15" a="1"/>
  <c r="AZ78" i="15" s="1"/>
  <c r="AZ77" i="15"/>
  <c r="BA78" i="15" a="1"/>
  <c r="BA78" i="15" s="1"/>
  <c r="BB77" i="15"/>
  <c r="BC78" i="15" a="1"/>
  <c r="BC78" i="15" s="1"/>
  <c r="AX78" i="15" a="1"/>
  <c r="AX78" i="15" s="1"/>
  <c r="AX77" i="15"/>
  <c r="AY44" i="15"/>
  <c r="BC44" i="15"/>
  <c r="AZ45" i="15" a="1"/>
  <c r="AZ45" i="15" s="1"/>
  <c r="BC45" i="15" a="1"/>
  <c r="BC45" i="15" s="1"/>
  <c r="AZ44" i="15"/>
  <c r="AX45" i="15" a="1"/>
  <c r="AX45" i="15" s="1"/>
  <c r="BA45" i="15" a="1"/>
  <c r="BA45" i="15" s="1"/>
  <c r="BA44" i="15"/>
  <c r="BB45" i="15" a="1"/>
  <c r="BB45" i="15" s="1"/>
  <c r="AX44" i="15"/>
  <c r="BB44" i="15"/>
  <c r="AY45" i="15" a="1"/>
  <c r="AY45" i="15" s="1"/>
  <c r="AY56" i="15"/>
  <c r="BC56" i="15"/>
  <c r="AZ57" i="15" a="1"/>
  <c r="AZ57" i="15" s="1"/>
  <c r="BC57" i="15" a="1"/>
  <c r="BC57" i="15" s="1"/>
  <c r="AZ56" i="15"/>
  <c r="AX57" i="15" a="1"/>
  <c r="AX57" i="15" s="1"/>
  <c r="BA57" i="15" a="1"/>
  <c r="BA57" i="15" s="1"/>
  <c r="BA56" i="15"/>
  <c r="BB57" i="15" a="1"/>
  <c r="BB57" i="15" s="1"/>
  <c r="AX56" i="15"/>
  <c r="BB56" i="15"/>
  <c r="AY57" i="15" a="1"/>
  <c r="AY57" i="15" s="1"/>
  <c r="AY68" i="15"/>
  <c r="BC68" i="15"/>
  <c r="AZ69" i="15" a="1"/>
  <c r="AZ69" i="15" s="1"/>
  <c r="BC69" i="15" a="1"/>
  <c r="BC69" i="15" s="1"/>
  <c r="BA68" i="15"/>
  <c r="BB69" i="15" a="1"/>
  <c r="BB69" i="15" s="1"/>
  <c r="BB68" i="15"/>
  <c r="AX69" i="15" a="1"/>
  <c r="AX69" i="15" s="1"/>
  <c r="AX68" i="15"/>
  <c r="AY69" i="15" a="1"/>
  <c r="AY69" i="15" s="1"/>
  <c r="AZ68" i="15"/>
  <c r="BA69" i="15" a="1"/>
  <c r="BA69" i="15" s="1"/>
  <c r="AY80" i="15"/>
  <c r="BC80" i="15"/>
  <c r="AZ81" i="15" a="1"/>
  <c r="AZ81" i="15" s="1"/>
  <c r="BC81" i="15" a="1"/>
  <c r="BC81" i="15" s="1"/>
  <c r="BA80" i="15"/>
  <c r="BB81" i="15" a="1"/>
  <c r="BB81" i="15" s="1"/>
  <c r="BB80" i="15"/>
  <c r="AX81" i="15" a="1"/>
  <c r="AX81" i="15" s="1"/>
  <c r="AX80" i="15"/>
  <c r="AY81" i="15" a="1"/>
  <c r="AY81" i="15" s="1"/>
  <c r="AZ80" i="15"/>
  <c r="BA81" i="15" a="1"/>
  <c r="BA81" i="15" s="1"/>
  <c r="T49" i="5"/>
  <c r="T50" i="5" a="1"/>
  <c r="T50" i="5" s="1"/>
  <c r="T65" i="5"/>
  <c r="T66" i="5" a="1"/>
  <c r="T66" i="5" s="1"/>
  <c r="T74" i="5"/>
  <c r="T75" i="5" a="1"/>
  <c r="T75" i="5" s="1"/>
  <c r="T86" i="5"/>
  <c r="T87" i="5" a="1"/>
  <c r="T87" i="5" s="1"/>
  <c r="T45" i="5" a="1"/>
  <c r="T45" i="5" s="1"/>
  <c r="T44" i="5"/>
  <c r="T60" i="5"/>
  <c r="T61" i="5" a="1"/>
  <c r="T61" i="5" s="1"/>
  <c r="T83" i="5"/>
  <c r="T84" i="5" a="1"/>
  <c r="T84" i="5" s="1"/>
  <c r="T35" i="5"/>
  <c r="T36" i="5" a="1"/>
  <c r="T36" i="5" s="1"/>
  <c r="T53" i="5" a="1"/>
  <c r="T53" i="5" s="1"/>
  <c r="T52" i="5"/>
  <c r="T69" i="5" a="1"/>
  <c r="T69" i="5" s="1"/>
  <c r="T68" i="5"/>
  <c r="T77" i="5"/>
  <c r="T78" i="5" a="1"/>
  <c r="T78" i="5" s="1"/>
  <c r="T71" i="5"/>
  <c r="T72" i="5" a="1"/>
  <c r="T72" i="5" s="1"/>
  <c r="T42" i="5" a="1"/>
  <c r="T42" i="5" s="1"/>
  <c r="T41" i="5"/>
  <c r="T58" i="5" a="1"/>
  <c r="T58" i="5" s="1"/>
  <c r="T57" i="5"/>
  <c r="T81" i="5" a="1"/>
  <c r="T81" i="5" s="1"/>
  <c r="T80" i="5"/>
  <c r="P50" i="5" a="1"/>
  <c r="P50" i="5" s="1"/>
  <c r="P49" i="5"/>
  <c r="U49" i="5"/>
  <c r="U50" i="5" a="1"/>
  <c r="U50" i="5" s="1"/>
  <c r="N74" i="5"/>
  <c r="R74" i="5"/>
  <c r="P75" i="5" a="1"/>
  <c r="P75" i="5" s="1"/>
  <c r="O74" i="5"/>
  <c r="P74" i="5"/>
  <c r="U74" i="5"/>
  <c r="Q74" i="5"/>
  <c r="U75" i="5" a="1"/>
  <c r="U75" i="5" s="1"/>
  <c r="P36" i="5" a="1"/>
  <c r="P36" i="5" s="1"/>
  <c r="P35" i="5"/>
  <c r="U35" i="5"/>
  <c r="U36" i="5" a="1"/>
  <c r="U36" i="5" s="1"/>
  <c r="P53" i="5" a="1"/>
  <c r="P53" i="5" s="1"/>
  <c r="P52" i="5"/>
  <c r="U52" i="5"/>
  <c r="U53" i="5" a="1"/>
  <c r="U53" i="5" s="1"/>
  <c r="P68" i="5"/>
  <c r="U68" i="5"/>
  <c r="Q68" i="5"/>
  <c r="N68" i="5"/>
  <c r="R68" i="5"/>
  <c r="P69" i="5" a="1"/>
  <c r="P69" i="5" s="1"/>
  <c r="O68" i="5"/>
  <c r="U69" i="5" a="1"/>
  <c r="U69" i="5" s="1"/>
  <c r="O77" i="5"/>
  <c r="P77" i="5"/>
  <c r="U77" i="5"/>
  <c r="Q77" i="5"/>
  <c r="N77" i="5"/>
  <c r="R77" i="5"/>
  <c r="P78" i="5" a="1"/>
  <c r="P78" i="5" s="1"/>
  <c r="U78" i="5" a="1"/>
  <c r="U78" i="5" s="1"/>
  <c r="P44" i="5"/>
  <c r="U44" i="5"/>
  <c r="P45" i="5" a="1"/>
  <c r="P45" i="5" s="1"/>
  <c r="U45" i="5" a="1"/>
  <c r="U45" i="5" s="1"/>
  <c r="P61" i="5" a="1"/>
  <c r="P61" i="5" s="1"/>
  <c r="P60" i="5"/>
  <c r="U60" i="5"/>
  <c r="U61" i="5" a="1"/>
  <c r="U61" i="5" s="1"/>
  <c r="Q71" i="5"/>
  <c r="N71" i="5"/>
  <c r="R71" i="5"/>
  <c r="P72" i="5" a="1"/>
  <c r="P72" i="5" s="1"/>
  <c r="O71" i="5"/>
  <c r="P71" i="5"/>
  <c r="U71" i="5"/>
  <c r="U72" i="5" a="1"/>
  <c r="U72" i="5" s="1"/>
  <c r="Q83" i="5"/>
  <c r="N83" i="5"/>
  <c r="R83" i="5"/>
  <c r="P84" i="5" a="1"/>
  <c r="P84" i="5" s="1"/>
  <c r="O83" i="5"/>
  <c r="P83" i="5"/>
  <c r="U83" i="5"/>
  <c r="U84" i="5" a="1"/>
  <c r="U84" i="5" s="1"/>
  <c r="P65" i="5"/>
  <c r="U65" i="5"/>
  <c r="N65" i="5"/>
  <c r="P66" i="5" a="1"/>
  <c r="P66" i="5" s="1"/>
  <c r="U66" i="5" a="1"/>
  <c r="U66" i="5" s="1"/>
  <c r="N86" i="5"/>
  <c r="R86" i="5"/>
  <c r="P87" i="5" a="1"/>
  <c r="P87" i="5" s="1"/>
  <c r="O86" i="5"/>
  <c r="P86" i="5"/>
  <c r="U86" i="5"/>
  <c r="Q86" i="5"/>
  <c r="U87" i="5" a="1"/>
  <c r="U87" i="5" s="1"/>
  <c r="U41" i="5"/>
  <c r="P42" i="5" a="1"/>
  <c r="P42" i="5" s="1"/>
  <c r="P41" i="5"/>
  <c r="U42" i="5" a="1"/>
  <c r="U42" i="5" s="1"/>
  <c r="P80" i="5"/>
  <c r="U80" i="5"/>
  <c r="Q80" i="5"/>
  <c r="N80" i="5"/>
  <c r="R80" i="5"/>
  <c r="P81" i="5" a="1"/>
  <c r="P81" i="5" s="1"/>
  <c r="O80" i="5"/>
  <c r="U81" i="5" a="1"/>
  <c r="U81" i="5" s="1"/>
  <c r="BB34" i="16"/>
  <c r="BB35" i="16"/>
  <c r="BA34" i="16"/>
  <c r="BA35" i="16"/>
  <c r="P57" i="5"/>
  <c r="U57" i="5"/>
  <c r="P58" i="5" a="1"/>
  <c r="P58" i="5" s="1"/>
  <c r="U58" i="5" a="1"/>
  <c r="U58" i="5" s="1"/>
  <c r="I37" i="16"/>
  <c r="I58" i="16"/>
  <c r="I72" i="16"/>
  <c r="I100" i="16"/>
  <c r="I44" i="16"/>
  <c r="I51" i="16"/>
  <c r="I79" i="16"/>
  <c r="I65" i="16"/>
  <c r="I93" i="16"/>
  <c r="BX71" i="5"/>
  <c r="CB71" i="5"/>
  <c r="CF71" i="5"/>
  <c r="CJ71" i="5"/>
  <c r="CN71" i="5"/>
  <c r="CR71" i="5"/>
  <c r="CV71" i="5"/>
  <c r="CZ71" i="5"/>
  <c r="DD71" i="5"/>
  <c r="BV71" i="5"/>
  <c r="BZ71" i="5"/>
  <c r="CH71" i="5"/>
  <c r="CP71" i="5"/>
  <c r="CX71" i="5"/>
  <c r="BW71" i="5"/>
  <c r="CA71" i="5"/>
  <c r="CE71" i="5"/>
  <c r="CI71" i="5"/>
  <c r="CM71" i="5"/>
  <c r="CQ71" i="5"/>
  <c r="CU71" i="5"/>
  <c r="CY71" i="5"/>
  <c r="DC71" i="5"/>
  <c r="BU71" i="5"/>
  <c r="BY71" i="5"/>
  <c r="CC71" i="5"/>
  <c r="CG71" i="5"/>
  <c r="CK71" i="5"/>
  <c r="CO71" i="5"/>
  <c r="CS71" i="5"/>
  <c r="CW71" i="5"/>
  <c r="DA71" i="5"/>
  <c r="CD71" i="5"/>
  <c r="CL71" i="5"/>
  <c r="CT71" i="5"/>
  <c r="DB71" i="5"/>
  <c r="BU83" i="5"/>
  <c r="BY83" i="5"/>
  <c r="CC83" i="5"/>
  <c r="CG83" i="5"/>
  <c r="CK83" i="5"/>
  <c r="CO83" i="5"/>
  <c r="CS83" i="5"/>
  <c r="CW83" i="5"/>
  <c r="DA83" i="5"/>
  <c r="CY83" i="5"/>
  <c r="BV83" i="5"/>
  <c r="BZ83" i="5"/>
  <c r="CD83" i="5"/>
  <c r="CH83" i="5"/>
  <c r="CL83" i="5"/>
  <c r="CP83" i="5"/>
  <c r="CT83" i="5"/>
  <c r="CX83" i="5"/>
  <c r="DB83" i="5"/>
  <c r="BW83" i="5"/>
  <c r="CA83" i="5"/>
  <c r="CE83" i="5"/>
  <c r="CI83" i="5"/>
  <c r="CM83" i="5"/>
  <c r="CQ83" i="5"/>
  <c r="CU83" i="5"/>
  <c r="DC83" i="5"/>
  <c r="CJ83" i="5"/>
  <c r="CZ83" i="5"/>
  <c r="BX83" i="5"/>
  <c r="CN83" i="5"/>
  <c r="DD83" i="5"/>
  <c r="CB83" i="5"/>
  <c r="CR83" i="5"/>
  <c r="CF83" i="5"/>
  <c r="CV83" i="5"/>
  <c r="BV74" i="5"/>
  <c r="BZ74" i="5"/>
  <c r="CD74" i="5"/>
  <c r="CH74" i="5"/>
  <c r="CL74" i="5"/>
  <c r="CP74" i="5"/>
  <c r="CT74" i="5"/>
  <c r="CX74" i="5"/>
  <c r="DB74" i="5"/>
  <c r="DD74" i="5"/>
  <c r="BY74" i="5"/>
  <c r="CC74" i="5"/>
  <c r="CK74" i="5"/>
  <c r="CS74" i="5"/>
  <c r="DA74" i="5"/>
  <c r="BW74" i="5"/>
  <c r="CA74" i="5"/>
  <c r="CE74" i="5"/>
  <c r="CI74" i="5"/>
  <c r="CM74" i="5"/>
  <c r="CQ74" i="5"/>
  <c r="CU74" i="5"/>
  <c r="CY74" i="5"/>
  <c r="DC74" i="5"/>
  <c r="BX74" i="5"/>
  <c r="CB74" i="5"/>
  <c r="CF74" i="5"/>
  <c r="CJ74" i="5"/>
  <c r="CN74" i="5"/>
  <c r="CR74" i="5"/>
  <c r="CV74" i="5"/>
  <c r="CZ74" i="5"/>
  <c r="BU74" i="5"/>
  <c r="CG74" i="5"/>
  <c r="CO74" i="5"/>
  <c r="CW74" i="5"/>
  <c r="BX86" i="5"/>
  <c r="CB86" i="5"/>
  <c r="CF86" i="5"/>
  <c r="CJ86" i="5"/>
  <c r="CN86" i="5"/>
  <c r="CR86" i="5"/>
  <c r="CV86" i="5"/>
  <c r="CZ86" i="5"/>
  <c r="DD86" i="5"/>
  <c r="BZ86" i="5"/>
  <c r="CH86" i="5"/>
  <c r="CP86" i="5"/>
  <c r="CX86" i="5"/>
  <c r="BU86" i="5"/>
  <c r="BY86" i="5"/>
  <c r="CC86" i="5"/>
  <c r="CG86" i="5"/>
  <c r="CK86" i="5"/>
  <c r="CO86" i="5"/>
  <c r="CS86" i="5"/>
  <c r="CW86" i="5"/>
  <c r="DA86" i="5"/>
  <c r="BV86" i="5"/>
  <c r="CD86" i="5"/>
  <c r="CL86" i="5"/>
  <c r="CT86" i="5"/>
  <c r="DB86" i="5"/>
  <c r="CE86" i="5"/>
  <c r="CU86" i="5"/>
  <c r="CI86" i="5"/>
  <c r="CY86" i="5"/>
  <c r="BW86" i="5"/>
  <c r="CM86" i="5"/>
  <c r="CA86" i="5"/>
  <c r="CQ86" i="5"/>
  <c r="DC86" i="5"/>
  <c r="BV80" i="5"/>
  <c r="BZ80" i="5"/>
  <c r="CD80" i="5"/>
  <c r="CH80" i="5"/>
  <c r="CL80" i="5"/>
  <c r="CP80" i="5"/>
  <c r="CT80" i="5"/>
  <c r="CX80" i="5"/>
  <c r="DB80" i="5"/>
  <c r="BX80" i="5"/>
  <c r="CB80" i="5"/>
  <c r="CF80" i="5"/>
  <c r="CJ80" i="5"/>
  <c r="CN80" i="5"/>
  <c r="CR80" i="5"/>
  <c r="CV80" i="5"/>
  <c r="CZ80" i="5"/>
  <c r="BY80" i="5"/>
  <c r="CG80" i="5"/>
  <c r="CO80" i="5"/>
  <c r="CW80" i="5"/>
  <c r="BW80" i="5"/>
  <c r="CA80" i="5"/>
  <c r="CE80" i="5"/>
  <c r="CI80" i="5"/>
  <c r="CM80" i="5"/>
  <c r="CQ80" i="5"/>
  <c r="CU80" i="5"/>
  <c r="CY80" i="5"/>
  <c r="DC80" i="5"/>
  <c r="DD80" i="5"/>
  <c r="BU80" i="5"/>
  <c r="CC80" i="5"/>
  <c r="CK80" i="5"/>
  <c r="CS80" i="5"/>
  <c r="DA80" i="5"/>
  <c r="BX77" i="5"/>
  <c r="CB77" i="5"/>
  <c r="CF77" i="5"/>
  <c r="CJ77" i="5"/>
  <c r="CN77" i="5"/>
  <c r="CR77" i="5"/>
  <c r="CV77" i="5"/>
  <c r="CZ77" i="5"/>
  <c r="DD77" i="5"/>
  <c r="CD77" i="5"/>
  <c r="CL77" i="5"/>
  <c r="CT77" i="5"/>
  <c r="DB77" i="5"/>
  <c r="BW77" i="5"/>
  <c r="CE77" i="5"/>
  <c r="CM77" i="5"/>
  <c r="CU77" i="5"/>
  <c r="DC77" i="5"/>
  <c r="BU77" i="5"/>
  <c r="BY77" i="5"/>
  <c r="CC77" i="5"/>
  <c r="CG77" i="5"/>
  <c r="CK77" i="5"/>
  <c r="CO77" i="5"/>
  <c r="CS77" i="5"/>
  <c r="CW77" i="5"/>
  <c r="DA77" i="5"/>
  <c r="BV77" i="5"/>
  <c r="BZ77" i="5"/>
  <c r="CH77" i="5"/>
  <c r="CP77" i="5"/>
  <c r="CX77" i="5"/>
  <c r="CA77" i="5"/>
  <c r="CI77" i="5"/>
  <c r="CQ77" i="5"/>
  <c r="CY77" i="5"/>
  <c r="BQ33" i="15"/>
  <c r="BQ32" i="15"/>
  <c r="BI33" i="15"/>
  <c r="BI32" i="15"/>
  <c r="BT32" i="15"/>
  <c r="BT33" i="15"/>
  <c r="BP32" i="15"/>
  <c r="BP33" i="15"/>
  <c r="BH32" i="15"/>
  <c r="BH33" i="15"/>
  <c r="BR33" i="15"/>
  <c r="BR32" i="15"/>
  <c r="BN33" i="15"/>
  <c r="BN32" i="15"/>
  <c r="BJ32" i="15"/>
  <c r="BJ33" i="15"/>
  <c r="BF33" i="15"/>
  <c r="BF32" i="15"/>
  <c r="BM33" i="15"/>
  <c r="BM32" i="15"/>
  <c r="BL32" i="15"/>
  <c r="BL33" i="15"/>
  <c r="BS32" i="15"/>
  <c r="BS33" i="15"/>
  <c r="BO33" i="15"/>
  <c r="BO32" i="15"/>
  <c r="BK32" i="15"/>
  <c r="BK33" i="15"/>
  <c r="BG32" i="15"/>
  <c r="BG33" i="15"/>
  <c r="H57" i="18"/>
  <c r="BD38" i="5"/>
  <c r="BH38" i="5"/>
  <c r="BE39" i="5" a="1"/>
  <c r="BE39" i="5" s="1"/>
  <c r="BH39" i="5" a="1"/>
  <c r="BH39" i="5" s="1"/>
  <c r="BE38" i="5"/>
  <c r="BI38" i="5"/>
  <c r="BC39" i="5" a="1"/>
  <c r="BC39" i="5" s="1"/>
  <c r="BF39" i="5" a="1"/>
  <c r="BF39" i="5" s="1"/>
  <c r="BF38" i="5"/>
  <c r="BD39" i="5" a="1"/>
  <c r="BD39" i="5" s="1"/>
  <c r="BI39" i="5" a="1"/>
  <c r="BI39" i="5" s="1"/>
  <c r="BB39" i="5" a="1"/>
  <c r="BB39" i="5" s="1"/>
  <c r="BG38" i="5"/>
  <c r="BB38" i="5"/>
  <c r="BC38" i="5"/>
  <c r="BG39" i="5" a="1"/>
  <c r="BG39" i="5" s="1"/>
  <c r="BB52" i="5"/>
  <c r="BF52" i="5"/>
  <c r="BD53" i="5" a="1"/>
  <c r="BD53" i="5" s="1"/>
  <c r="BI53" i="5" a="1"/>
  <c r="BI53" i="5" s="1"/>
  <c r="BC52" i="5"/>
  <c r="BG52" i="5"/>
  <c r="BB53" i="5" a="1"/>
  <c r="BB53" i="5" s="1"/>
  <c r="BG53" i="5" a="1"/>
  <c r="BG53" i="5" s="1"/>
  <c r="BD52" i="5"/>
  <c r="BH53" i="5" a="1"/>
  <c r="BH53" i="5" s="1"/>
  <c r="BI52" i="5"/>
  <c r="BF53" i="5" a="1"/>
  <c r="BF53" i="5" s="1"/>
  <c r="BE52" i="5"/>
  <c r="BC53" i="5" a="1"/>
  <c r="BC53" i="5" s="1"/>
  <c r="BH52" i="5"/>
  <c r="BE53" i="5" a="1"/>
  <c r="BE53" i="5" s="1"/>
  <c r="BD68" i="5"/>
  <c r="BH68" i="5"/>
  <c r="BE69" i="5" a="1"/>
  <c r="BE69" i="5" s="1"/>
  <c r="BH69" i="5" a="1"/>
  <c r="BH69" i="5" s="1"/>
  <c r="BE68" i="5"/>
  <c r="BI68" i="5"/>
  <c r="BC69" i="5" a="1"/>
  <c r="BC69" i="5" s="1"/>
  <c r="BF69" i="5" a="1"/>
  <c r="BF69" i="5" s="1"/>
  <c r="BB68" i="5"/>
  <c r="BI69" i="5" a="1"/>
  <c r="BI69" i="5" s="1"/>
  <c r="BG68" i="5"/>
  <c r="BC68" i="5"/>
  <c r="BB69" i="5" a="1"/>
  <c r="BB69" i="5" s="1"/>
  <c r="BG69" i="5" a="1"/>
  <c r="BG69" i="5" s="1"/>
  <c r="BF68" i="5"/>
  <c r="BD69" i="5" a="1"/>
  <c r="BD69" i="5" s="1"/>
  <c r="BE77" i="5"/>
  <c r="BI77" i="5"/>
  <c r="BC78" i="5" a="1"/>
  <c r="BC78" i="5" s="1"/>
  <c r="BF78" i="5" a="1"/>
  <c r="BF78" i="5" s="1"/>
  <c r="BB77" i="5"/>
  <c r="BF77" i="5"/>
  <c r="BD78" i="5" a="1"/>
  <c r="BD78" i="5" s="1"/>
  <c r="BI78" i="5" a="1"/>
  <c r="BI78" i="5" s="1"/>
  <c r="BG77" i="5"/>
  <c r="BC77" i="5"/>
  <c r="BB78" i="5" a="1"/>
  <c r="BB78" i="5" s="1"/>
  <c r="BH77" i="5"/>
  <c r="BE78" i="5" a="1"/>
  <c r="BE78" i="5" s="1"/>
  <c r="BG78" i="5" a="1"/>
  <c r="BG78" i="5" s="1"/>
  <c r="BD77" i="5"/>
  <c r="BH78" i="5" a="1"/>
  <c r="BH78" i="5" s="1"/>
  <c r="BC57" i="5"/>
  <c r="BG57" i="5"/>
  <c r="BB58" i="5" a="1"/>
  <c r="BB58" i="5" s="1"/>
  <c r="BE58" i="5" a="1"/>
  <c r="BE58" i="5" s="1"/>
  <c r="BD57" i="5"/>
  <c r="BH57" i="5"/>
  <c r="BC58" i="5" a="1"/>
  <c r="BC58" i="5" s="1"/>
  <c r="BH58" i="5" a="1"/>
  <c r="BH58" i="5" s="1"/>
  <c r="BE57" i="5"/>
  <c r="BI58" i="5" a="1"/>
  <c r="BI58" i="5" s="1"/>
  <c r="BI57" i="5"/>
  <c r="BF58" i="5" a="1"/>
  <c r="BF58" i="5" s="1"/>
  <c r="BF57" i="5"/>
  <c r="BD58" i="5" a="1"/>
  <c r="BD58" i="5" s="1"/>
  <c r="BB57" i="5"/>
  <c r="BG58" i="5" a="1"/>
  <c r="BG58" i="5" s="1"/>
  <c r="BB80" i="5"/>
  <c r="BF80" i="5"/>
  <c r="BD81" i="5" a="1"/>
  <c r="BD81" i="5" s="1"/>
  <c r="BI81" i="5" a="1"/>
  <c r="BI81" i="5" s="1"/>
  <c r="BC80" i="5"/>
  <c r="BG80" i="5"/>
  <c r="BB81" i="5" a="1"/>
  <c r="BB81" i="5" s="1"/>
  <c r="BG81" i="5" a="1"/>
  <c r="BG81" i="5" s="1"/>
  <c r="BH80" i="5"/>
  <c r="BE81" i="5" a="1"/>
  <c r="BE81" i="5" s="1"/>
  <c r="BD80" i="5"/>
  <c r="BH81" i="5" a="1"/>
  <c r="BH81" i="5" s="1"/>
  <c r="BI80" i="5"/>
  <c r="BF81" i="5" a="1"/>
  <c r="BF81" i="5" s="1"/>
  <c r="BC81" i="5" a="1"/>
  <c r="BC81" i="5" s="1"/>
  <c r="BE80" i="5"/>
  <c r="BC44" i="5"/>
  <c r="BG44" i="5"/>
  <c r="BB45" i="5" a="1"/>
  <c r="BB45" i="5" s="1"/>
  <c r="BE45" i="5" a="1"/>
  <c r="BE45" i="5" s="1"/>
  <c r="BD44" i="5"/>
  <c r="BH44" i="5"/>
  <c r="BC45" i="5" a="1"/>
  <c r="BC45" i="5" s="1"/>
  <c r="BH45" i="5" a="1"/>
  <c r="BH45" i="5" s="1"/>
  <c r="BI44" i="5"/>
  <c r="BF45" i="5" a="1"/>
  <c r="BF45" i="5" s="1"/>
  <c r="BD45" i="5" a="1"/>
  <c r="BD45" i="5" s="1"/>
  <c r="BB44" i="5"/>
  <c r="BG45" i="5" a="1"/>
  <c r="BG45" i="5" s="1"/>
  <c r="BE44" i="5"/>
  <c r="BI45" i="5" a="1"/>
  <c r="BI45" i="5" s="1"/>
  <c r="BF44" i="5"/>
  <c r="BE60" i="5"/>
  <c r="BI60" i="5"/>
  <c r="BF61" i="5" a="1"/>
  <c r="BF61" i="5" s="1"/>
  <c r="BI61" i="5" a="1"/>
  <c r="BI61" i="5" s="1"/>
  <c r="BB60" i="5"/>
  <c r="BF60" i="5"/>
  <c r="BD61" i="5" a="1"/>
  <c r="BD61" i="5" s="1"/>
  <c r="BG61" i="5" a="1"/>
  <c r="BG61" i="5" s="1"/>
  <c r="BG60" i="5"/>
  <c r="BE61" i="5" a="1"/>
  <c r="BE61" i="5" s="1"/>
  <c r="BD60" i="5"/>
  <c r="BC61" i="5" a="1"/>
  <c r="BC61" i="5" s="1"/>
  <c r="BH60" i="5"/>
  <c r="BC60" i="5"/>
  <c r="BB61" i="5" a="1"/>
  <c r="BB61" i="5" s="1"/>
  <c r="BH61" i="5" a="1"/>
  <c r="BH61" i="5" s="1"/>
  <c r="BE71" i="5"/>
  <c r="BI71" i="5"/>
  <c r="BF72" i="5" a="1"/>
  <c r="BF72" i="5" s="1"/>
  <c r="BI72" i="5" a="1"/>
  <c r="BI72" i="5" s="1"/>
  <c r="BB71" i="5"/>
  <c r="BF71" i="5"/>
  <c r="BD72" i="5" a="1"/>
  <c r="BD72" i="5" s="1"/>
  <c r="BG72" i="5" a="1"/>
  <c r="BG72" i="5" s="1"/>
  <c r="BC71" i="5"/>
  <c r="BB72" i="5" a="1"/>
  <c r="BB72" i="5" s="1"/>
  <c r="BD71" i="5"/>
  <c r="BC72" i="5" a="1"/>
  <c r="BC72" i="5" s="1"/>
  <c r="BH72" i="5" a="1"/>
  <c r="BH72" i="5" s="1"/>
  <c r="BG71" i="5"/>
  <c r="BE72" i="5" a="1"/>
  <c r="BE72" i="5" s="1"/>
  <c r="BH71" i="5"/>
  <c r="BC83" i="5"/>
  <c r="BG83" i="5"/>
  <c r="BB84" i="5" a="1"/>
  <c r="BB84" i="5" s="1"/>
  <c r="BE84" i="5" a="1"/>
  <c r="BE84" i="5" s="1"/>
  <c r="BD83" i="5"/>
  <c r="BH83" i="5"/>
  <c r="BC84" i="5" a="1"/>
  <c r="BC84" i="5" s="1"/>
  <c r="BH84" i="5" a="1"/>
  <c r="BH84" i="5" s="1"/>
  <c r="BI83" i="5"/>
  <c r="BF84" i="5" a="1"/>
  <c r="BF84" i="5" s="1"/>
  <c r="BB83" i="5"/>
  <c r="BG84" i="5" a="1"/>
  <c r="BG84" i="5" s="1"/>
  <c r="BE83" i="5"/>
  <c r="BI84" i="5" a="1"/>
  <c r="BI84" i="5" s="1"/>
  <c r="BF83" i="5"/>
  <c r="BD84" i="5" a="1"/>
  <c r="BD84" i="5" s="1"/>
  <c r="BE41" i="5"/>
  <c r="BI41" i="5"/>
  <c r="BF42" i="5" a="1"/>
  <c r="BF42" i="5" s="1"/>
  <c r="BI42" i="5" a="1"/>
  <c r="BI42" i="5" s="1"/>
  <c r="BB41" i="5"/>
  <c r="BF41" i="5"/>
  <c r="BD42" i="5" a="1"/>
  <c r="BD42" i="5" s="1"/>
  <c r="BG42" i="5" a="1"/>
  <c r="BG42" i="5" s="1"/>
  <c r="BG41" i="5"/>
  <c r="BE42" i="5" a="1"/>
  <c r="BE42" i="5" s="1"/>
  <c r="BD41" i="5"/>
  <c r="BH42" i="5" a="1"/>
  <c r="BH42" i="5" s="1"/>
  <c r="BH41" i="5"/>
  <c r="BC41" i="5"/>
  <c r="BB42" i="5" a="1"/>
  <c r="BB42" i="5" s="1"/>
  <c r="BC42" i="5" a="1"/>
  <c r="BC42" i="5" s="1"/>
  <c r="BC35" i="5"/>
  <c r="BG35" i="5"/>
  <c r="BB36" i="5" a="1"/>
  <c r="BB36" i="5" s="1"/>
  <c r="BG36" i="5" a="1"/>
  <c r="BG36" i="5" s="1"/>
  <c r="BD35" i="5"/>
  <c r="BH35" i="5"/>
  <c r="BE36" i="5" a="1"/>
  <c r="BE36" i="5" s="1"/>
  <c r="BH36" i="5" a="1"/>
  <c r="BH36" i="5" s="1"/>
  <c r="BE35" i="5"/>
  <c r="BC36" i="5" a="1"/>
  <c r="BC36" i="5" s="1"/>
  <c r="BB35" i="5"/>
  <c r="BF35" i="5"/>
  <c r="BD36" i="5" a="1"/>
  <c r="BD36" i="5" s="1"/>
  <c r="BI36" i="5" a="1"/>
  <c r="BI36" i="5" s="1"/>
  <c r="BI35" i="5"/>
  <c r="BF36" i="5" a="1"/>
  <c r="BF36" i="5" s="1"/>
  <c r="BE49" i="5"/>
  <c r="BI49" i="5"/>
  <c r="BC50" i="5" a="1"/>
  <c r="BC50" i="5" s="1"/>
  <c r="BF50" i="5" a="1"/>
  <c r="BF50" i="5" s="1"/>
  <c r="BB49" i="5"/>
  <c r="BF49" i="5"/>
  <c r="BD50" i="5" a="1"/>
  <c r="BD50" i="5" s="1"/>
  <c r="BI50" i="5" a="1"/>
  <c r="BI50" i="5" s="1"/>
  <c r="BC49" i="5"/>
  <c r="BB50" i="5" a="1"/>
  <c r="BB50" i="5" s="1"/>
  <c r="BG50" i="5" a="1"/>
  <c r="BG50" i="5" s="1"/>
  <c r="BG49" i="5"/>
  <c r="BD49" i="5"/>
  <c r="BH50" i="5" a="1"/>
  <c r="BH50" i="5" s="1"/>
  <c r="BH49" i="5"/>
  <c r="BE50" i="5" a="1"/>
  <c r="BE50" i="5" s="1"/>
  <c r="BC65" i="5"/>
  <c r="BG65" i="5"/>
  <c r="BB66" i="5" a="1"/>
  <c r="BB66" i="5" s="1"/>
  <c r="BG66" i="5" a="1"/>
  <c r="BG66" i="5" s="1"/>
  <c r="BD65" i="5"/>
  <c r="BH65" i="5"/>
  <c r="BE66" i="5" a="1"/>
  <c r="BE66" i="5" s="1"/>
  <c r="BH66" i="5" a="1"/>
  <c r="BH66" i="5" s="1"/>
  <c r="BI65" i="5"/>
  <c r="BF66" i="5" a="1"/>
  <c r="BF66" i="5" s="1"/>
  <c r="BE65" i="5"/>
  <c r="BC66" i="5" a="1"/>
  <c r="BC66" i="5" s="1"/>
  <c r="BF65" i="5"/>
  <c r="BD66" i="5" a="1"/>
  <c r="BD66" i="5" s="1"/>
  <c r="BB65" i="5"/>
  <c r="BI66" i="5" a="1"/>
  <c r="BI66" i="5" s="1"/>
  <c r="BC74" i="5"/>
  <c r="BG74" i="5"/>
  <c r="BB75" i="5" a="1"/>
  <c r="BB75" i="5" s="1"/>
  <c r="BE75" i="5" a="1"/>
  <c r="BE75" i="5" s="1"/>
  <c r="BD74" i="5"/>
  <c r="BH74" i="5"/>
  <c r="BC75" i="5" a="1"/>
  <c r="BC75" i="5" s="1"/>
  <c r="BH75" i="5" a="1"/>
  <c r="BH75" i="5" s="1"/>
  <c r="BE74" i="5"/>
  <c r="BI75" i="5" a="1"/>
  <c r="BI75" i="5" s="1"/>
  <c r="BF74" i="5"/>
  <c r="BD75" i="5" a="1"/>
  <c r="BD75" i="5" s="1"/>
  <c r="BI74" i="5"/>
  <c r="BF75" i="5" a="1"/>
  <c r="BF75" i="5" s="1"/>
  <c r="BG75" i="5" a="1"/>
  <c r="BG75" i="5" s="1"/>
  <c r="BB74" i="5"/>
  <c r="BB86" i="5"/>
  <c r="BC86" i="5"/>
  <c r="BG86" i="5"/>
  <c r="BB87" i="5" a="1"/>
  <c r="BB87" i="5" s="1"/>
  <c r="BE87" i="5" a="1"/>
  <c r="BE87" i="5" s="1"/>
  <c r="BE86" i="5"/>
  <c r="BI86" i="5"/>
  <c r="BF87" i="5" a="1"/>
  <c r="BF87" i="5" s="1"/>
  <c r="BD86" i="5"/>
  <c r="BH86" i="5"/>
  <c r="BC87" i="5" a="1"/>
  <c r="BC87" i="5" s="1"/>
  <c r="BH87" i="5" a="1"/>
  <c r="BH87" i="5" s="1"/>
  <c r="BI87" i="5" a="1"/>
  <c r="BI87" i="5" s="1"/>
  <c r="BG87" i="5" a="1"/>
  <c r="BG87" i="5" s="1"/>
  <c r="BD87" i="5" a="1"/>
  <c r="BD87" i="5" s="1"/>
  <c r="BF86" i="5"/>
  <c r="J45" i="5" a="1"/>
  <c r="J45" i="5" s="1"/>
  <c r="AC44" i="5"/>
  <c r="AG44" i="5"/>
  <c r="AK44" i="5"/>
  <c r="AO44" i="5"/>
  <c r="AS44" i="5"/>
  <c r="AW44" i="5"/>
  <c r="BA44" i="5"/>
  <c r="AD45" i="5" a="1"/>
  <c r="AD45" i="5" s="1"/>
  <c r="AG45" i="5" a="1"/>
  <c r="AG45" i="5" s="1"/>
  <c r="AJ45" i="5" a="1"/>
  <c r="AJ45" i="5" s="1"/>
  <c r="AM45" i="5" a="1"/>
  <c r="AM45" i="5" s="1"/>
  <c r="AT45" i="5" a="1"/>
  <c r="AT45" i="5" s="1"/>
  <c r="AW45" i="5" a="1"/>
  <c r="AW45" i="5" s="1"/>
  <c r="AZ45" i="5" a="1"/>
  <c r="AZ45" i="5" s="1"/>
  <c r="AE44" i="5"/>
  <c r="AI44" i="5"/>
  <c r="AM44" i="5"/>
  <c r="AQ44" i="5"/>
  <c r="AU44" i="5"/>
  <c r="AY44" i="5"/>
  <c r="AB45" i="5" a="1"/>
  <c r="AB45" i="5" s="1"/>
  <c r="AE45" i="5" a="1"/>
  <c r="AE45" i="5" s="1"/>
  <c r="AL45" i="5" a="1"/>
  <c r="AL45" i="5" s="1"/>
  <c r="AO45" i="5" a="1"/>
  <c r="AO45" i="5" s="1"/>
  <c r="AR45" i="5" a="1"/>
  <c r="AR45" i="5" s="1"/>
  <c r="AU45" i="5" a="1"/>
  <c r="AU45" i="5" s="1"/>
  <c r="AB44" i="5"/>
  <c r="AJ44" i="5"/>
  <c r="AR44" i="5"/>
  <c r="AZ44" i="5"/>
  <c r="AC45" i="5" a="1"/>
  <c r="AC45" i="5" s="1"/>
  <c r="AI45" i="5" a="1"/>
  <c r="AI45" i="5" s="1"/>
  <c r="AP45" i="5" a="1"/>
  <c r="AP45" i="5" s="1"/>
  <c r="AV45" i="5" a="1"/>
  <c r="AV45" i="5" s="1"/>
  <c r="AH44" i="5"/>
  <c r="AX44" i="5"/>
  <c r="BA45" i="5" a="1"/>
  <c r="BA45" i="5" s="1"/>
  <c r="AD44" i="5"/>
  <c r="AL44" i="5"/>
  <c r="AT44" i="5"/>
  <c r="AK45" i="5" a="1"/>
  <c r="AK45" i="5" s="1"/>
  <c r="AQ45" i="5" a="1"/>
  <c r="AQ45" i="5" s="1"/>
  <c r="AX45" i="5" a="1"/>
  <c r="AX45" i="5" s="1"/>
  <c r="AP44" i="5"/>
  <c r="AN45" i="5" a="1"/>
  <c r="AN45" i="5" s="1"/>
  <c r="AF44" i="5"/>
  <c r="AN44" i="5"/>
  <c r="AV44" i="5"/>
  <c r="AF45" i="5" a="1"/>
  <c r="AF45" i="5" s="1"/>
  <c r="AS45" i="5" a="1"/>
  <c r="AS45" i="5" s="1"/>
  <c r="AY45" i="5" a="1"/>
  <c r="AY45" i="5" s="1"/>
  <c r="AH45" i="5" a="1"/>
  <c r="AH45" i="5" s="1"/>
  <c r="J61" i="5" a="1"/>
  <c r="J61" i="5" s="1"/>
  <c r="AB60" i="5"/>
  <c r="AF60" i="5"/>
  <c r="AJ60" i="5"/>
  <c r="AN60" i="5"/>
  <c r="AR60" i="5"/>
  <c r="AV60" i="5"/>
  <c r="AZ60" i="5"/>
  <c r="AD61" i="5" a="1"/>
  <c r="AD61" i="5" s="1"/>
  <c r="AH61" i="5" a="1"/>
  <c r="AH61" i="5" s="1"/>
  <c r="AL61" i="5" a="1"/>
  <c r="AL61" i="5" s="1"/>
  <c r="AP61" i="5" a="1"/>
  <c r="AP61" i="5" s="1"/>
  <c r="AT61" i="5" a="1"/>
  <c r="AT61" i="5" s="1"/>
  <c r="AX61" i="5" a="1"/>
  <c r="AX61" i="5" s="1"/>
  <c r="AG60" i="5"/>
  <c r="AL60" i="5"/>
  <c r="AQ60" i="5"/>
  <c r="AW60" i="5"/>
  <c r="AC61" i="5" a="1"/>
  <c r="AC61" i="5" s="1"/>
  <c r="AI61" i="5" a="1"/>
  <c r="AI61" i="5" s="1"/>
  <c r="AN61" i="5" a="1"/>
  <c r="AN61" i="5" s="1"/>
  <c r="AS61" i="5" a="1"/>
  <c r="AS61" i="5" s="1"/>
  <c r="AY61" i="5" a="1"/>
  <c r="AY61" i="5" s="1"/>
  <c r="AK60" i="5"/>
  <c r="AU60" i="5"/>
  <c r="BA60" i="5"/>
  <c r="AG61" i="5" a="1"/>
  <c r="AG61" i="5" s="1"/>
  <c r="AR61" i="5" a="1"/>
  <c r="AR61" i="5" s="1"/>
  <c r="AC60" i="5"/>
  <c r="AH60" i="5"/>
  <c r="AM60" i="5"/>
  <c r="AS60" i="5"/>
  <c r="AX60" i="5"/>
  <c r="AE61" i="5" a="1"/>
  <c r="AE61" i="5" s="1"/>
  <c r="AJ61" i="5" a="1"/>
  <c r="AJ61" i="5" s="1"/>
  <c r="AO61" i="5" a="1"/>
  <c r="AO61" i="5" s="1"/>
  <c r="AU61" i="5" a="1"/>
  <c r="AU61" i="5" s="1"/>
  <c r="AZ61" i="5" a="1"/>
  <c r="AZ61" i="5" s="1"/>
  <c r="AE60" i="5"/>
  <c r="AP60" i="5"/>
  <c r="AB61" i="5" a="1"/>
  <c r="AB61" i="5" s="1"/>
  <c r="AW61" i="5" a="1"/>
  <c r="AW61" i="5" s="1"/>
  <c r="AD60" i="5"/>
  <c r="AI60" i="5"/>
  <c r="AO60" i="5"/>
  <c r="AT60" i="5"/>
  <c r="AY60" i="5"/>
  <c r="AF61" i="5" a="1"/>
  <c r="AF61" i="5" s="1"/>
  <c r="AK61" i="5" a="1"/>
  <c r="AK61" i="5" s="1"/>
  <c r="AQ61" i="5" a="1"/>
  <c r="AQ61" i="5" s="1"/>
  <c r="AV61" i="5" a="1"/>
  <c r="AV61" i="5" s="1"/>
  <c r="BA61" i="5" a="1"/>
  <c r="BA61" i="5" s="1"/>
  <c r="AM61" i="5" a="1"/>
  <c r="AM61" i="5" s="1"/>
  <c r="M71" i="5"/>
  <c r="J72" i="5" a="1"/>
  <c r="J72" i="5" s="1"/>
  <c r="BS71" i="5"/>
  <c r="AA71" i="5"/>
  <c r="AE71" i="5"/>
  <c r="AI71" i="5"/>
  <c r="AM71" i="5"/>
  <c r="AQ71" i="5"/>
  <c r="AU71" i="5"/>
  <c r="AY71" i="5"/>
  <c r="AB72" i="5" a="1"/>
  <c r="AB72" i="5" s="1"/>
  <c r="AG72" i="5" a="1"/>
  <c r="AG72" i="5" s="1"/>
  <c r="AJ72" i="5" a="1"/>
  <c r="AJ72" i="5" s="1"/>
  <c r="AO72" i="5" a="1"/>
  <c r="AO72" i="5" s="1"/>
  <c r="AR72" i="5" a="1"/>
  <c r="AR72" i="5" s="1"/>
  <c r="AW72" i="5" a="1"/>
  <c r="AW72" i="5" s="1"/>
  <c r="AZ72" i="5" a="1"/>
  <c r="AZ72" i="5" s="1"/>
  <c r="AB71" i="5"/>
  <c r="AG71" i="5"/>
  <c r="AL71" i="5"/>
  <c r="AR71" i="5"/>
  <c r="AW71" i="5"/>
  <c r="AF72" i="5" a="1"/>
  <c r="AF72" i="5" s="1"/>
  <c r="AI72" i="5" a="1"/>
  <c r="AI72" i="5" s="1"/>
  <c r="AM72" i="5" a="1"/>
  <c r="AM72" i="5" s="1"/>
  <c r="AT72" i="5" a="1"/>
  <c r="AT72" i="5" s="1"/>
  <c r="AX72" i="5" a="1"/>
  <c r="AX72" i="5" s="1"/>
  <c r="BA72" i="5" a="1"/>
  <c r="BA72" i="5" s="1"/>
  <c r="AH71" i="5"/>
  <c r="AS71" i="5"/>
  <c r="AN72" i="5" a="1"/>
  <c r="AN72" i="5" s="1"/>
  <c r="AU72" i="5" a="1"/>
  <c r="AU72" i="5" s="1"/>
  <c r="Z71" i="5"/>
  <c r="AF71" i="5"/>
  <c r="AK71" i="5"/>
  <c r="AP71" i="5"/>
  <c r="AV71" i="5"/>
  <c r="BA71" i="5"/>
  <c r="AP72" i="5" a="1"/>
  <c r="AP72" i="5" s="1"/>
  <c r="AC71" i="5"/>
  <c r="AN71" i="5"/>
  <c r="AX71" i="5"/>
  <c r="AC72" i="5" a="1"/>
  <c r="AC72" i="5" s="1"/>
  <c r="AQ72" i="5" a="1"/>
  <c r="AQ72" i="5" s="1"/>
  <c r="X71" i="5"/>
  <c r="BT71" i="5"/>
  <c r="AE72" i="5" a="1"/>
  <c r="AE72" i="5" s="1"/>
  <c r="AS72" i="5" a="1"/>
  <c r="AS72" i="5" s="1"/>
  <c r="Y71" i="5"/>
  <c r="AD71" i="5"/>
  <c r="AJ71" i="5"/>
  <c r="AO71" i="5"/>
  <c r="AT71" i="5"/>
  <c r="AZ71" i="5"/>
  <c r="AD72" i="5" a="1"/>
  <c r="AD72" i="5" s="1"/>
  <c r="AH72" i="5" a="1"/>
  <c r="AH72" i="5" s="1"/>
  <c r="AK72" i="5" a="1"/>
  <c r="AK72" i="5" s="1"/>
  <c r="AV72" i="5" a="1"/>
  <c r="AV72" i="5" s="1"/>
  <c r="AY72" i="5" a="1"/>
  <c r="AY72" i="5" s="1"/>
  <c r="AL72" i="5" a="1"/>
  <c r="AL72" i="5" s="1"/>
  <c r="J84" i="5" a="1"/>
  <c r="J84" i="5" s="1"/>
  <c r="M83" i="5"/>
  <c r="BS83" i="5"/>
  <c r="AA83" i="5"/>
  <c r="AE83" i="5"/>
  <c r="AI83" i="5"/>
  <c r="AM83" i="5"/>
  <c r="AQ83" i="5"/>
  <c r="AU83" i="5"/>
  <c r="AY83" i="5"/>
  <c r="AB84" i="5" a="1"/>
  <c r="AB84" i="5" s="1"/>
  <c r="AG84" i="5" a="1"/>
  <c r="AG84" i="5" s="1"/>
  <c r="AJ84" i="5" a="1"/>
  <c r="AJ84" i="5" s="1"/>
  <c r="AO84" i="5" a="1"/>
  <c r="AO84" i="5" s="1"/>
  <c r="AR84" i="5" a="1"/>
  <c r="AR84" i="5" s="1"/>
  <c r="AW84" i="5" a="1"/>
  <c r="AW84" i="5" s="1"/>
  <c r="AZ84" i="5" a="1"/>
  <c r="AZ84" i="5" s="1"/>
  <c r="X83" i="5"/>
  <c r="AB83" i="5"/>
  <c r="AF83" i="5"/>
  <c r="AJ83" i="5"/>
  <c r="AN83" i="5"/>
  <c r="AR83" i="5"/>
  <c r="AV83" i="5"/>
  <c r="AZ83" i="5"/>
  <c r="AH84" i="5" a="1"/>
  <c r="AH84" i="5" s="1"/>
  <c r="AP84" i="5" a="1"/>
  <c r="AP84" i="5" s="1"/>
  <c r="AU84" i="5" a="1"/>
  <c r="AU84" i="5" s="1"/>
  <c r="AK83" i="5"/>
  <c r="AS83" i="5"/>
  <c r="AW83" i="5"/>
  <c r="AC84" i="5" a="1"/>
  <c r="AC84" i="5" s="1"/>
  <c r="AN84" i="5" a="1"/>
  <c r="AN84" i="5" s="1"/>
  <c r="AV84" i="5" a="1"/>
  <c r="AV84" i="5" s="1"/>
  <c r="AP83" i="5"/>
  <c r="AI84" i="5" a="1"/>
  <c r="AI84" i="5" s="1"/>
  <c r="AL84" i="5" a="1"/>
  <c r="AL84" i="5" s="1"/>
  <c r="AY84" i="5" a="1"/>
  <c r="AY84" i="5" s="1"/>
  <c r="AE84" i="5" a="1"/>
  <c r="AE84" i="5" s="1"/>
  <c r="AM84" i="5" a="1"/>
  <c r="AM84" i="5" s="1"/>
  <c r="AX84" i="5" a="1"/>
  <c r="AX84" i="5" s="1"/>
  <c r="Y83" i="5"/>
  <c r="AC83" i="5"/>
  <c r="AG83" i="5"/>
  <c r="AO83" i="5"/>
  <c r="BA83" i="5"/>
  <c r="AF84" i="5" a="1"/>
  <c r="AF84" i="5" s="1"/>
  <c r="AS84" i="5" a="1"/>
  <c r="AS84" i="5" s="1"/>
  <c r="AT83" i="5"/>
  <c r="AD84" i="5" a="1"/>
  <c r="AD84" i="5" s="1"/>
  <c r="AQ84" i="5" a="1"/>
  <c r="AQ84" i="5" s="1"/>
  <c r="AK84" i="5" a="1"/>
  <c r="AK84" i="5" s="1"/>
  <c r="BA84" i="5" a="1"/>
  <c r="BA84" i="5" s="1"/>
  <c r="BT83" i="5"/>
  <c r="Z83" i="5"/>
  <c r="AD83" i="5"/>
  <c r="AH83" i="5"/>
  <c r="AL83" i="5"/>
  <c r="AX83" i="5"/>
  <c r="AT84" i="5" a="1"/>
  <c r="AT84" i="5" s="1"/>
  <c r="J42" i="5" a="1"/>
  <c r="J42" i="5" s="1"/>
  <c r="AC41" i="5"/>
  <c r="AG41" i="5"/>
  <c r="AK41" i="5"/>
  <c r="AO41" i="5"/>
  <c r="AS41" i="5"/>
  <c r="AW41" i="5"/>
  <c r="BA41" i="5"/>
  <c r="AG42" i="5" a="1"/>
  <c r="AG42" i="5" s="1"/>
  <c r="AJ42" i="5" a="1"/>
  <c r="AJ42" i="5" s="1"/>
  <c r="AM42" i="5" a="1"/>
  <c r="AM42" i="5" s="1"/>
  <c r="AP42" i="5" a="1"/>
  <c r="AP42" i="5" s="1"/>
  <c r="AW42" i="5" a="1"/>
  <c r="AW42" i="5" s="1"/>
  <c r="AZ42" i="5" a="1"/>
  <c r="AZ42" i="5" s="1"/>
  <c r="AE41" i="5"/>
  <c r="AI41" i="5"/>
  <c r="AM41" i="5"/>
  <c r="AQ41" i="5"/>
  <c r="AU41" i="5"/>
  <c r="AY41" i="5"/>
  <c r="AB42" i="5" a="1"/>
  <c r="AB42" i="5" s="1"/>
  <c r="AE42" i="5" a="1"/>
  <c r="AE42" i="5" s="1"/>
  <c r="AH42" i="5" a="1"/>
  <c r="AH42" i="5" s="1"/>
  <c r="AO42" i="5" a="1"/>
  <c r="AO42" i="5" s="1"/>
  <c r="AR42" i="5" a="1"/>
  <c r="AR42" i="5" s="1"/>
  <c r="AU42" i="5" a="1"/>
  <c r="AU42" i="5" s="1"/>
  <c r="AX42" i="5" a="1"/>
  <c r="AX42" i="5" s="1"/>
  <c r="AF41" i="5"/>
  <c r="AN41" i="5"/>
  <c r="AV41" i="5"/>
  <c r="AF42" i="5" a="1"/>
  <c r="AF42" i="5" s="1"/>
  <c r="AL42" i="5" a="1"/>
  <c r="AL42" i="5" s="1"/>
  <c r="AS42" i="5" a="1"/>
  <c r="AS42" i="5" s="1"/>
  <c r="AY42" i="5" a="1"/>
  <c r="AY42" i="5" s="1"/>
  <c r="AT41" i="5"/>
  <c r="AK42" i="5" a="1"/>
  <c r="AK42" i="5" s="1"/>
  <c r="AH41" i="5"/>
  <c r="AP41" i="5"/>
  <c r="AX41" i="5"/>
  <c r="AN42" i="5" a="1"/>
  <c r="AN42" i="5" s="1"/>
  <c r="AT42" i="5" a="1"/>
  <c r="AT42" i="5" s="1"/>
  <c r="BA42" i="5" a="1"/>
  <c r="BA42" i="5" s="1"/>
  <c r="AL41" i="5"/>
  <c r="AD42" i="5" a="1"/>
  <c r="AD42" i="5" s="1"/>
  <c r="AB41" i="5"/>
  <c r="AJ41" i="5"/>
  <c r="AR41" i="5"/>
  <c r="AZ41" i="5"/>
  <c r="AC42" i="5" a="1"/>
  <c r="AC42" i="5" s="1"/>
  <c r="AI42" i="5" a="1"/>
  <c r="AI42" i="5" s="1"/>
  <c r="AV42" i="5" a="1"/>
  <c r="AV42" i="5" s="1"/>
  <c r="AD41" i="5"/>
  <c r="AQ42" i="5" a="1"/>
  <c r="AQ42" i="5" s="1"/>
  <c r="M80" i="5"/>
  <c r="J81" i="5" a="1"/>
  <c r="J81" i="5" s="1"/>
  <c r="BT80" i="5"/>
  <c r="Z80" i="5"/>
  <c r="AD80" i="5"/>
  <c r="AH80" i="5"/>
  <c r="AL80" i="5"/>
  <c r="AP80" i="5"/>
  <c r="AT80" i="5"/>
  <c r="AX80" i="5"/>
  <c r="AF81" i="5" a="1"/>
  <c r="AF81" i="5" s="1"/>
  <c r="AI81" i="5" a="1"/>
  <c r="AI81" i="5" s="1"/>
  <c r="AN81" i="5" a="1"/>
  <c r="AN81" i="5" s="1"/>
  <c r="AQ81" i="5" a="1"/>
  <c r="AQ81" i="5" s="1"/>
  <c r="AV81" i="5" a="1"/>
  <c r="AV81" i="5" s="1"/>
  <c r="AY81" i="5" a="1"/>
  <c r="AY81" i="5" s="1"/>
  <c r="AE80" i="5"/>
  <c r="AM80" i="5"/>
  <c r="AQ80" i="5"/>
  <c r="AY80" i="5"/>
  <c r="AG81" i="5" a="1"/>
  <c r="AG81" i="5" s="1"/>
  <c r="AO81" i="5" a="1"/>
  <c r="AO81" i="5" s="1"/>
  <c r="AT81" i="5" a="1"/>
  <c r="AT81" i="5" s="1"/>
  <c r="AW81" i="5" a="1"/>
  <c r="AW81" i="5" s="1"/>
  <c r="X80" i="5"/>
  <c r="AR80" i="5"/>
  <c r="AE81" i="5" a="1"/>
  <c r="AE81" i="5" s="1"/>
  <c r="AJ81" i="5" a="1"/>
  <c r="AJ81" i="5" s="1"/>
  <c r="AU81" i="5" a="1"/>
  <c r="AU81" i="5" s="1"/>
  <c r="AC80" i="5"/>
  <c r="AK80" i="5"/>
  <c r="AO80" i="5"/>
  <c r="AW80" i="5"/>
  <c r="BA80" i="5"/>
  <c r="AC81" i="5" a="1"/>
  <c r="AC81" i="5" s="1"/>
  <c r="AK81" i="5" a="1"/>
  <c r="AK81" i="5" s="1"/>
  <c r="AS81" i="5" a="1"/>
  <c r="AS81" i="5" s="1"/>
  <c r="BA81" i="5" a="1"/>
  <c r="BA81" i="5" s="1"/>
  <c r="AA80" i="5"/>
  <c r="AI80" i="5"/>
  <c r="AU80" i="5"/>
  <c r="AD81" i="5" a="1"/>
  <c r="AD81" i="5" s="1"/>
  <c r="AL81" i="5" a="1"/>
  <c r="AL81" i="5" s="1"/>
  <c r="AM81" i="5" a="1"/>
  <c r="AM81" i="5" s="1"/>
  <c r="AH81" i="5" a="1"/>
  <c r="AH81" i="5" s="1"/>
  <c r="AX81" i="5" a="1"/>
  <c r="AX81" i="5" s="1"/>
  <c r="BS80" i="5"/>
  <c r="AB80" i="5"/>
  <c r="AF80" i="5"/>
  <c r="AJ80" i="5"/>
  <c r="AN80" i="5"/>
  <c r="AV80" i="5"/>
  <c r="AZ80" i="5"/>
  <c r="AB81" i="5" a="1"/>
  <c r="AB81" i="5" s="1"/>
  <c r="AR81" i="5" a="1"/>
  <c r="AR81" i="5" s="1"/>
  <c r="AZ81" i="5" a="1"/>
  <c r="AZ81" i="5" s="1"/>
  <c r="Y80" i="5"/>
  <c r="AG80" i="5"/>
  <c r="AS80" i="5"/>
  <c r="AP81" i="5" a="1"/>
  <c r="AP81" i="5" s="1"/>
  <c r="J36" i="5" a="1"/>
  <c r="J36" i="5" s="1"/>
  <c r="AC35" i="5"/>
  <c r="AG35" i="5"/>
  <c r="AK35" i="5"/>
  <c r="AO35" i="5"/>
  <c r="AS35" i="5"/>
  <c r="AW35" i="5"/>
  <c r="BA35" i="5"/>
  <c r="AG36" i="5" a="1"/>
  <c r="AG36" i="5" s="1"/>
  <c r="AJ36" i="5" a="1"/>
  <c r="AJ36" i="5" s="1"/>
  <c r="AM36" i="5" a="1"/>
  <c r="AM36" i="5" s="1"/>
  <c r="AP36" i="5" a="1"/>
  <c r="AP36" i="5" s="1"/>
  <c r="AW36" i="5" a="1"/>
  <c r="AW36" i="5" s="1"/>
  <c r="AZ36" i="5" a="1"/>
  <c r="AZ36" i="5" s="1"/>
  <c r="AE35" i="5"/>
  <c r="AI35" i="5"/>
  <c r="AM35" i="5"/>
  <c r="AQ35" i="5"/>
  <c r="AU35" i="5"/>
  <c r="AY35" i="5"/>
  <c r="AB36" i="5" a="1"/>
  <c r="AB36" i="5" s="1"/>
  <c r="AE36" i="5" a="1"/>
  <c r="AE36" i="5" s="1"/>
  <c r="AH36" i="5" a="1"/>
  <c r="AH36" i="5" s="1"/>
  <c r="AO36" i="5" a="1"/>
  <c r="AO36" i="5" s="1"/>
  <c r="AR36" i="5" a="1"/>
  <c r="AR36" i="5" s="1"/>
  <c r="AU36" i="5" a="1"/>
  <c r="AU36" i="5" s="1"/>
  <c r="AX36" i="5" a="1"/>
  <c r="AX36" i="5" s="1"/>
  <c r="AF35" i="5"/>
  <c r="AN35" i="5"/>
  <c r="AV35" i="5"/>
  <c r="AF36" i="5" a="1"/>
  <c r="AF36" i="5" s="1"/>
  <c r="AL36" i="5" a="1"/>
  <c r="AL36" i="5" s="1"/>
  <c r="AS36" i="5" a="1"/>
  <c r="AS36" i="5" s="1"/>
  <c r="AY36" i="5" a="1"/>
  <c r="AY36" i="5" s="1"/>
  <c r="AL35" i="5"/>
  <c r="AT35" i="5"/>
  <c r="AD36" i="5" a="1"/>
  <c r="AD36" i="5" s="1"/>
  <c r="AH35" i="5"/>
  <c r="AP35" i="5"/>
  <c r="AX35" i="5"/>
  <c r="AN36" i="5" a="1"/>
  <c r="AN36" i="5" s="1"/>
  <c r="AT36" i="5" a="1"/>
  <c r="AT36" i="5" s="1"/>
  <c r="BA36" i="5" a="1"/>
  <c r="BA36" i="5" s="1"/>
  <c r="AQ36" i="5" a="1"/>
  <c r="AQ36" i="5" s="1"/>
  <c r="AB35" i="5"/>
  <c r="AJ35" i="5"/>
  <c r="AR35" i="5"/>
  <c r="AZ35" i="5"/>
  <c r="AC36" i="5" a="1"/>
  <c r="AC36" i="5" s="1"/>
  <c r="AI36" i="5" a="1"/>
  <c r="AI36" i="5" s="1"/>
  <c r="AV36" i="5" a="1"/>
  <c r="AV36" i="5" s="1"/>
  <c r="AD35" i="5"/>
  <c r="AK36" i="5" a="1"/>
  <c r="AK36" i="5" s="1"/>
  <c r="J50" i="5" a="1"/>
  <c r="J50" i="5" s="1"/>
  <c r="AC49" i="5"/>
  <c r="AG49" i="5"/>
  <c r="AK49" i="5"/>
  <c r="AO49" i="5"/>
  <c r="AS49" i="5"/>
  <c r="AW49" i="5"/>
  <c r="BA49" i="5"/>
  <c r="AG50" i="5" a="1"/>
  <c r="AG50" i="5" s="1"/>
  <c r="AJ50" i="5" a="1"/>
  <c r="AJ50" i="5" s="1"/>
  <c r="AM50" i="5" a="1"/>
  <c r="AM50" i="5" s="1"/>
  <c r="AP50" i="5" a="1"/>
  <c r="AP50" i="5" s="1"/>
  <c r="AW50" i="5" a="1"/>
  <c r="AW50" i="5" s="1"/>
  <c r="AZ50" i="5" a="1"/>
  <c r="AZ50" i="5" s="1"/>
  <c r="AE49" i="5"/>
  <c r="AI49" i="5"/>
  <c r="AM49" i="5"/>
  <c r="AQ49" i="5"/>
  <c r="AU49" i="5"/>
  <c r="AY49" i="5"/>
  <c r="AB50" i="5" a="1"/>
  <c r="AB50" i="5" s="1"/>
  <c r="AE50" i="5" a="1"/>
  <c r="AE50" i="5" s="1"/>
  <c r="AH50" i="5" a="1"/>
  <c r="AH50" i="5" s="1"/>
  <c r="AO50" i="5" a="1"/>
  <c r="AO50" i="5" s="1"/>
  <c r="AR50" i="5" a="1"/>
  <c r="AR50" i="5" s="1"/>
  <c r="AU50" i="5" a="1"/>
  <c r="AU50" i="5" s="1"/>
  <c r="AX50" i="5" a="1"/>
  <c r="AX50" i="5" s="1"/>
  <c r="AF49" i="5"/>
  <c r="AN49" i="5"/>
  <c r="AV49" i="5"/>
  <c r="AF50" i="5" a="1"/>
  <c r="AF50" i="5" s="1"/>
  <c r="AL50" i="5" a="1"/>
  <c r="AL50" i="5" s="1"/>
  <c r="AS50" i="5" a="1"/>
  <c r="AS50" i="5" s="1"/>
  <c r="AY50" i="5" a="1"/>
  <c r="AY50" i="5" s="1"/>
  <c r="AD50" i="5" a="1"/>
  <c r="AD50" i="5" s="1"/>
  <c r="AH49" i="5"/>
  <c r="AP49" i="5"/>
  <c r="AX49" i="5"/>
  <c r="AN50" i="5" a="1"/>
  <c r="AN50" i="5" s="1"/>
  <c r="AT50" i="5" a="1"/>
  <c r="AT50" i="5" s="1"/>
  <c r="BA50" i="5" a="1"/>
  <c r="BA50" i="5" s="1"/>
  <c r="AL49" i="5"/>
  <c r="AK50" i="5" a="1"/>
  <c r="AK50" i="5" s="1"/>
  <c r="AB49" i="5"/>
  <c r="AJ49" i="5"/>
  <c r="AR49" i="5"/>
  <c r="AZ49" i="5"/>
  <c r="AC50" i="5" a="1"/>
  <c r="AC50" i="5" s="1"/>
  <c r="AI50" i="5" a="1"/>
  <c r="AI50" i="5" s="1"/>
  <c r="AV50" i="5" a="1"/>
  <c r="AV50" i="5" s="1"/>
  <c r="AD49" i="5"/>
  <c r="AT49" i="5"/>
  <c r="AQ50" i="5" a="1"/>
  <c r="AQ50" i="5" s="1"/>
  <c r="J66" i="5" a="1"/>
  <c r="J66" i="5" s="1"/>
  <c r="AB65" i="5"/>
  <c r="AF65" i="5"/>
  <c r="AJ65" i="5"/>
  <c r="AN65" i="5"/>
  <c r="AR65" i="5"/>
  <c r="AV65" i="5"/>
  <c r="AZ65" i="5"/>
  <c r="AD66" i="5" a="1"/>
  <c r="AD66" i="5" s="1"/>
  <c r="AH66" i="5" a="1"/>
  <c r="AH66" i="5" s="1"/>
  <c r="AL66" i="5" a="1"/>
  <c r="AL66" i="5" s="1"/>
  <c r="AP66" i="5" a="1"/>
  <c r="AP66" i="5" s="1"/>
  <c r="AT66" i="5" a="1"/>
  <c r="AT66" i="5" s="1"/>
  <c r="AX66" i="5" a="1"/>
  <c r="AX66" i="5" s="1"/>
  <c r="AE65" i="5"/>
  <c r="AK65" i="5"/>
  <c r="AP65" i="5"/>
  <c r="AU65" i="5"/>
  <c r="BA65" i="5"/>
  <c r="AB66" i="5" a="1"/>
  <c r="AB66" i="5" s="1"/>
  <c r="AG66" i="5" a="1"/>
  <c r="AG66" i="5" s="1"/>
  <c r="AM66" i="5" a="1"/>
  <c r="AM66" i="5" s="1"/>
  <c r="AR66" i="5" a="1"/>
  <c r="AR66" i="5" s="1"/>
  <c r="AW66" i="5" a="1"/>
  <c r="AW66" i="5" s="1"/>
  <c r="AI65" i="5"/>
  <c r="AO65" i="5"/>
  <c r="AY65" i="5"/>
  <c r="AQ66" i="5" a="1"/>
  <c r="AQ66" i="5" s="1"/>
  <c r="BA66" i="5" a="1"/>
  <c r="BA66" i="5" s="1"/>
  <c r="AG65" i="5"/>
  <c r="AL65" i="5"/>
  <c r="AQ65" i="5"/>
  <c r="AW65" i="5"/>
  <c r="AC66" i="5" a="1"/>
  <c r="AC66" i="5" s="1"/>
  <c r="AI66" i="5" a="1"/>
  <c r="AI66" i="5" s="1"/>
  <c r="AN66" i="5" a="1"/>
  <c r="AN66" i="5" s="1"/>
  <c r="AS66" i="5" a="1"/>
  <c r="AS66" i="5" s="1"/>
  <c r="AY66" i="5" a="1"/>
  <c r="AY66" i="5" s="1"/>
  <c r="AK66" i="5" a="1"/>
  <c r="AK66" i="5" s="1"/>
  <c r="AC65" i="5"/>
  <c r="AH65" i="5"/>
  <c r="AM65" i="5"/>
  <c r="AS65" i="5"/>
  <c r="AX65" i="5"/>
  <c r="AE66" i="5" a="1"/>
  <c r="AE66" i="5" s="1"/>
  <c r="AJ66" i="5" a="1"/>
  <c r="AJ66" i="5" s="1"/>
  <c r="AO66" i="5" a="1"/>
  <c r="AO66" i="5" s="1"/>
  <c r="AU66" i="5" a="1"/>
  <c r="AU66" i="5" s="1"/>
  <c r="AZ66" i="5" a="1"/>
  <c r="AZ66" i="5" s="1"/>
  <c r="AD65" i="5"/>
  <c r="AT65" i="5"/>
  <c r="AF66" i="5" a="1"/>
  <c r="AF66" i="5" s="1"/>
  <c r="AV66" i="5" a="1"/>
  <c r="AV66" i="5" s="1"/>
  <c r="J75" i="5" a="1"/>
  <c r="J75" i="5" s="1"/>
  <c r="M74" i="5"/>
  <c r="AB74" i="5"/>
  <c r="AF74" i="5"/>
  <c r="AJ74" i="5"/>
  <c r="AN74" i="5"/>
  <c r="AR74" i="5"/>
  <c r="AV74" i="5"/>
  <c r="AZ74" i="5"/>
  <c r="AB75" i="5" a="1"/>
  <c r="AB75" i="5" s="1"/>
  <c r="AE75" i="5" a="1"/>
  <c r="AE75" i="5" s="1"/>
  <c r="AJ75" i="5" a="1"/>
  <c r="AJ75" i="5" s="1"/>
  <c r="AM75" i="5" a="1"/>
  <c r="AM75" i="5" s="1"/>
  <c r="AR75" i="5" a="1"/>
  <c r="AR75" i="5" s="1"/>
  <c r="AU75" i="5" a="1"/>
  <c r="AU75" i="5" s="1"/>
  <c r="AZ75" i="5" a="1"/>
  <c r="AZ75" i="5" s="1"/>
  <c r="BS74" i="5"/>
  <c r="AA74" i="5"/>
  <c r="AG74" i="5"/>
  <c r="AL74" i="5"/>
  <c r="AQ74" i="5"/>
  <c r="AW74" i="5"/>
  <c r="AI75" i="5" a="1"/>
  <c r="AI75" i="5" s="1"/>
  <c r="AL75" i="5" a="1"/>
  <c r="AL75" i="5" s="1"/>
  <c r="AP75" i="5" a="1"/>
  <c r="AP75" i="5" s="1"/>
  <c r="AW75" i="5" a="1"/>
  <c r="AW75" i="5" s="1"/>
  <c r="BA75" i="5" a="1"/>
  <c r="BA75" i="5" s="1"/>
  <c r="X74" i="5"/>
  <c r="AM74" i="5"/>
  <c r="AX74" i="5"/>
  <c r="AC75" i="5" a="1"/>
  <c r="AC75" i="5" s="1"/>
  <c r="AF75" i="5" a="1"/>
  <c r="AF75" i="5" s="1"/>
  <c r="AT75" i="5" a="1"/>
  <c r="AT75" i="5" s="1"/>
  <c r="AX75" i="5" a="1"/>
  <c r="AX75" i="5" s="1"/>
  <c r="AE74" i="5"/>
  <c r="AK74" i="5"/>
  <c r="AU74" i="5"/>
  <c r="BA74" i="5"/>
  <c r="AD75" i="5" a="1"/>
  <c r="AD75" i="5" s="1"/>
  <c r="AO75" i="5" a="1"/>
  <c r="AO75" i="5" s="1"/>
  <c r="AV75" i="5" a="1"/>
  <c r="AV75" i="5" s="1"/>
  <c r="AC74" i="5"/>
  <c r="AH74" i="5"/>
  <c r="AS74" i="5"/>
  <c r="AQ75" i="5" a="1"/>
  <c r="AQ75" i="5" s="1"/>
  <c r="AH75" i="5" a="1"/>
  <c r="AH75" i="5" s="1"/>
  <c r="BT74" i="5"/>
  <c r="Y74" i="5"/>
  <c r="AD74" i="5"/>
  <c r="AI74" i="5"/>
  <c r="AO74" i="5"/>
  <c r="AT74" i="5"/>
  <c r="AY74" i="5"/>
  <c r="AG75" i="5" a="1"/>
  <c r="AG75" i="5" s="1"/>
  <c r="AK75" i="5" a="1"/>
  <c r="AK75" i="5" s="1"/>
  <c r="AN75" i="5" a="1"/>
  <c r="AN75" i="5" s="1"/>
  <c r="AY75" i="5" a="1"/>
  <c r="AY75" i="5" s="1"/>
  <c r="Z74" i="5"/>
  <c r="AP74" i="5"/>
  <c r="AS75" i="5" a="1"/>
  <c r="AS75" i="5" s="1"/>
  <c r="M86" i="5"/>
  <c r="J87" i="5" a="1"/>
  <c r="J87" i="5" s="1"/>
  <c r="BS86" i="5"/>
  <c r="AB86" i="5"/>
  <c r="AF86" i="5"/>
  <c r="AJ86" i="5"/>
  <c r="AN86" i="5"/>
  <c r="AR86" i="5"/>
  <c r="AV86" i="5"/>
  <c r="AZ86" i="5"/>
  <c r="AB87" i="5" a="1"/>
  <c r="AB87" i="5" s="1"/>
  <c r="AE87" i="5" a="1"/>
  <c r="AE87" i="5" s="1"/>
  <c r="AJ87" i="5" a="1"/>
  <c r="AJ87" i="5" s="1"/>
  <c r="AM87" i="5" a="1"/>
  <c r="AM87" i="5" s="1"/>
  <c r="AR87" i="5" a="1"/>
  <c r="AR87" i="5" s="1"/>
  <c r="AU87" i="5" a="1"/>
  <c r="AU87" i="5" s="1"/>
  <c r="AZ87" i="5" a="1"/>
  <c r="AZ87" i="5" s="1"/>
  <c r="Y86" i="5"/>
  <c r="AC86" i="5"/>
  <c r="AG86" i="5"/>
  <c r="AK86" i="5"/>
  <c r="AO86" i="5"/>
  <c r="AS86" i="5"/>
  <c r="AW86" i="5"/>
  <c r="BA86" i="5"/>
  <c r="AH87" i="5" a="1"/>
  <c r="AH87" i="5" s="1"/>
  <c r="AP87" i="5" a="1"/>
  <c r="AP87" i="5" s="1"/>
  <c r="AS87" i="5" a="1"/>
  <c r="AS87" i="5" s="1"/>
  <c r="BA87" i="5" a="1"/>
  <c r="BA87" i="5" s="1"/>
  <c r="Z86" i="5"/>
  <c r="AD86" i="5"/>
  <c r="AH86" i="5"/>
  <c r="AP86" i="5"/>
  <c r="AT86" i="5"/>
  <c r="AX86" i="5"/>
  <c r="AN87" i="5" a="1"/>
  <c r="AN87" i="5" s="1"/>
  <c r="AV87" i="5" a="1"/>
  <c r="AV87" i="5" s="1"/>
  <c r="AG87" i="5" a="1"/>
  <c r="AG87" i="5" s="1"/>
  <c r="AL87" i="5" a="1"/>
  <c r="AL87" i="5" s="1"/>
  <c r="AW87" i="5" a="1"/>
  <c r="AW87" i="5" s="1"/>
  <c r="AC87" i="5" a="1"/>
  <c r="AC87" i="5" s="1"/>
  <c r="AK87" i="5" a="1"/>
  <c r="AK87" i="5" s="1"/>
  <c r="AX87" i="5" a="1"/>
  <c r="AX87" i="5" s="1"/>
  <c r="AL86" i="5"/>
  <c r="AF87" i="5" a="1"/>
  <c r="AF87" i="5" s="1"/>
  <c r="AQ87" i="5" a="1"/>
  <c r="AQ87" i="5" s="1"/>
  <c r="AA86" i="5"/>
  <c r="AI86" i="5"/>
  <c r="AQ86" i="5"/>
  <c r="AY86" i="5"/>
  <c r="AD87" i="5" a="1"/>
  <c r="AD87" i="5" s="1"/>
  <c r="AT87" i="5" a="1"/>
  <c r="AT87" i="5" s="1"/>
  <c r="BT86" i="5"/>
  <c r="AI87" i="5" a="1"/>
  <c r="AI87" i="5" s="1"/>
  <c r="AY87" i="5" a="1"/>
  <c r="AY87" i="5" s="1"/>
  <c r="X86" i="5"/>
  <c r="AE86" i="5"/>
  <c r="AM86" i="5"/>
  <c r="AU86" i="5"/>
  <c r="AO87" i="5" a="1"/>
  <c r="AO87" i="5" s="1"/>
  <c r="J58" i="5" a="1"/>
  <c r="J58" i="5" s="1"/>
  <c r="AB57" i="5"/>
  <c r="AF57" i="5"/>
  <c r="AJ57" i="5"/>
  <c r="AN57" i="5"/>
  <c r="AR57" i="5"/>
  <c r="AV57" i="5"/>
  <c r="AZ57" i="5"/>
  <c r="AD58" i="5" a="1"/>
  <c r="AD58" i="5" s="1"/>
  <c r="AH58" i="5" a="1"/>
  <c r="AH58" i="5" s="1"/>
  <c r="AL58" i="5" a="1"/>
  <c r="AL58" i="5" s="1"/>
  <c r="AP58" i="5" a="1"/>
  <c r="AP58" i="5" s="1"/>
  <c r="AT58" i="5" a="1"/>
  <c r="AT58" i="5" s="1"/>
  <c r="AX58" i="5" a="1"/>
  <c r="AX58" i="5" s="1"/>
  <c r="AD57" i="5"/>
  <c r="AH57" i="5"/>
  <c r="AL57" i="5"/>
  <c r="AP57" i="5"/>
  <c r="AT57" i="5"/>
  <c r="AX57" i="5"/>
  <c r="AB58" i="5" a="1"/>
  <c r="AB58" i="5" s="1"/>
  <c r="AF58" i="5" a="1"/>
  <c r="AF58" i="5" s="1"/>
  <c r="AI57" i="5"/>
  <c r="AQ57" i="5"/>
  <c r="AY57" i="5"/>
  <c r="AC58" i="5" a="1"/>
  <c r="AC58" i="5" s="1"/>
  <c r="AJ58" i="5" a="1"/>
  <c r="AJ58" i="5" s="1"/>
  <c r="AO58" i="5" a="1"/>
  <c r="AO58" i="5" s="1"/>
  <c r="AU58" i="5" a="1"/>
  <c r="AU58" i="5" s="1"/>
  <c r="AZ58" i="5" a="1"/>
  <c r="AZ58" i="5" s="1"/>
  <c r="AO57" i="5"/>
  <c r="AI58" i="5" a="1"/>
  <c r="AI58" i="5" s="1"/>
  <c r="AS58" i="5" a="1"/>
  <c r="AS58" i="5" s="1"/>
  <c r="AC57" i="5"/>
  <c r="AK57" i="5"/>
  <c r="AS57" i="5"/>
  <c r="BA57" i="5"/>
  <c r="AE58" i="5" a="1"/>
  <c r="AE58" i="5" s="1"/>
  <c r="AK58" i="5" a="1"/>
  <c r="AK58" i="5" s="1"/>
  <c r="AQ58" i="5" a="1"/>
  <c r="AQ58" i="5" s="1"/>
  <c r="AV58" i="5" a="1"/>
  <c r="AV58" i="5" s="1"/>
  <c r="BA58" i="5" a="1"/>
  <c r="BA58" i="5" s="1"/>
  <c r="AW57" i="5"/>
  <c r="AN58" i="5" a="1"/>
  <c r="AN58" i="5" s="1"/>
  <c r="AE57" i="5"/>
  <c r="AM57" i="5"/>
  <c r="AU57" i="5"/>
  <c r="AG58" i="5" a="1"/>
  <c r="AG58" i="5" s="1"/>
  <c r="AM58" i="5" a="1"/>
  <c r="AM58" i="5" s="1"/>
  <c r="AR58" i="5" a="1"/>
  <c r="AR58" i="5" s="1"/>
  <c r="AW58" i="5" a="1"/>
  <c r="AW58" i="5" s="1"/>
  <c r="AG57" i="5"/>
  <c r="AY58" i="5" a="1"/>
  <c r="AY58" i="5" s="1"/>
  <c r="J39" i="5" a="1"/>
  <c r="J39" i="5" s="1"/>
  <c r="AC38" i="5"/>
  <c r="AG38" i="5"/>
  <c r="AK38" i="5"/>
  <c r="AO38" i="5"/>
  <c r="AS38" i="5"/>
  <c r="AW38" i="5"/>
  <c r="BA38" i="5"/>
  <c r="AD39" i="5" a="1"/>
  <c r="AD39" i="5" s="1"/>
  <c r="AG39" i="5" a="1"/>
  <c r="AG39" i="5" s="1"/>
  <c r="AJ39" i="5" a="1"/>
  <c r="AJ39" i="5" s="1"/>
  <c r="AM39" i="5" a="1"/>
  <c r="AM39" i="5" s="1"/>
  <c r="AT39" i="5" a="1"/>
  <c r="AT39" i="5" s="1"/>
  <c r="AW39" i="5" a="1"/>
  <c r="AW39" i="5" s="1"/>
  <c r="AZ39" i="5" a="1"/>
  <c r="AZ39" i="5" s="1"/>
  <c r="AE38" i="5"/>
  <c r="AI38" i="5"/>
  <c r="AM38" i="5"/>
  <c r="AQ38" i="5"/>
  <c r="AU38" i="5"/>
  <c r="AY38" i="5"/>
  <c r="AB39" i="5" a="1"/>
  <c r="AB39" i="5" s="1"/>
  <c r="AE39" i="5" a="1"/>
  <c r="AE39" i="5" s="1"/>
  <c r="AL39" i="5" a="1"/>
  <c r="AL39" i="5" s="1"/>
  <c r="AO39" i="5" a="1"/>
  <c r="AO39" i="5" s="1"/>
  <c r="AR39" i="5" a="1"/>
  <c r="AR39" i="5" s="1"/>
  <c r="AU39" i="5" a="1"/>
  <c r="AU39" i="5" s="1"/>
  <c r="AB38" i="5"/>
  <c r="AJ38" i="5"/>
  <c r="AR38" i="5"/>
  <c r="AZ38" i="5"/>
  <c r="AC39" i="5" a="1"/>
  <c r="AC39" i="5" s="1"/>
  <c r="AI39" i="5" a="1"/>
  <c r="AI39" i="5" s="1"/>
  <c r="AP39" i="5" a="1"/>
  <c r="AP39" i="5" s="1"/>
  <c r="AV39" i="5" a="1"/>
  <c r="AV39" i="5" s="1"/>
  <c r="AH38" i="5"/>
  <c r="AP38" i="5"/>
  <c r="AX38" i="5"/>
  <c r="BA39" i="5" a="1"/>
  <c r="BA39" i="5" s="1"/>
  <c r="AD38" i="5"/>
  <c r="AL38" i="5"/>
  <c r="AT38" i="5"/>
  <c r="AK39" i="5" a="1"/>
  <c r="AK39" i="5" s="1"/>
  <c r="AQ39" i="5" a="1"/>
  <c r="AQ39" i="5" s="1"/>
  <c r="AX39" i="5" a="1"/>
  <c r="AX39" i="5" s="1"/>
  <c r="AN39" i="5" a="1"/>
  <c r="AN39" i="5" s="1"/>
  <c r="AF38" i="5"/>
  <c r="AN38" i="5"/>
  <c r="AV38" i="5"/>
  <c r="AF39" i="5" a="1"/>
  <c r="AF39" i="5" s="1"/>
  <c r="AS39" i="5" a="1"/>
  <c r="AS39" i="5" s="1"/>
  <c r="AY39" i="5" a="1"/>
  <c r="AY39" i="5" s="1"/>
  <c r="AH39" i="5" a="1"/>
  <c r="AH39" i="5" s="1"/>
  <c r="J53" i="5" a="1"/>
  <c r="J53" i="5" s="1"/>
  <c r="AC52" i="5"/>
  <c r="AG52" i="5"/>
  <c r="AK52" i="5"/>
  <c r="AO52" i="5"/>
  <c r="AS52" i="5"/>
  <c r="AW52" i="5"/>
  <c r="BA52" i="5"/>
  <c r="AD53" i="5" a="1"/>
  <c r="AD53" i="5" s="1"/>
  <c r="AG53" i="5" a="1"/>
  <c r="AG53" i="5" s="1"/>
  <c r="AJ53" i="5" a="1"/>
  <c r="AJ53" i="5" s="1"/>
  <c r="AM53" i="5" a="1"/>
  <c r="AM53" i="5" s="1"/>
  <c r="AT53" i="5" a="1"/>
  <c r="AT53" i="5" s="1"/>
  <c r="AX53" i="5" a="1"/>
  <c r="AX53" i="5" s="1"/>
  <c r="AE52" i="5"/>
  <c r="AI52" i="5"/>
  <c r="AM52" i="5"/>
  <c r="AQ52" i="5"/>
  <c r="AU52" i="5"/>
  <c r="AY52" i="5"/>
  <c r="AB53" i="5" a="1"/>
  <c r="AB53" i="5" s="1"/>
  <c r="AE53" i="5" a="1"/>
  <c r="AE53" i="5" s="1"/>
  <c r="AL53" i="5" a="1"/>
  <c r="AL53" i="5" s="1"/>
  <c r="AO53" i="5" a="1"/>
  <c r="AO53" i="5" s="1"/>
  <c r="AR53" i="5" a="1"/>
  <c r="AR53" i="5" s="1"/>
  <c r="AV53" i="5" a="1"/>
  <c r="AV53" i="5" s="1"/>
  <c r="AZ53" i="5" a="1"/>
  <c r="AZ53" i="5" s="1"/>
  <c r="AB52" i="5"/>
  <c r="AJ52" i="5"/>
  <c r="AR52" i="5"/>
  <c r="AZ52" i="5"/>
  <c r="AC53" i="5" a="1"/>
  <c r="AC53" i="5" s="1"/>
  <c r="AI53" i="5" a="1"/>
  <c r="AI53" i="5" s="1"/>
  <c r="AP53" i="5" a="1"/>
  <c r="AP53" i="5" s="1"/>
  <c r="AW53" i="5" a="1"/>
  <c r="AW53" i="5" s="1"/>
  <c r="AH52" i="5"/>
  <c r="AP52" i="5"/>
  <c r="AX52" i="5"/>
  <c r="AU53" i="5" a="1"/>
  <c r="AU53" i="5" s="1"/>
  <c r="AD52" i="5"/>
  <c r="AL52" i="5"/>
  <c r="AT52" i="5"/>
  <c r="AK53" i="5" a="1"/>
  <c r="AK53" i="5" s="1"/>
  <c r="AQ53" i="5" a="1"/>
  <c r="AQ53" i="5" s="1"/>
  <c r="AY53" i="5" a="1"/>
  <c r="AY53" i="5" s="1"/>
  <c r="AH53" i="5" a="1"/>
  <c r="AH53" i="5" s="1"/>
  <c r="AF52" i="5"/>
  <c r="AN52" i="5"/>
  <c r="AV52" i="5"/>
  <c r="AF53" i="5" a="1"/>
  <c r="AF53" i="5" s="1"/>
  <c r="AS53" i="5" a="1"/>
  <c r="AS53" i="5" s="1"/>
  <c r="BA53" i="5" a="1"/>
  <c r="BA53" i="5" s="1"/>
  <c r="AN53" i="5" a="1"/>
  <c r="AN53" i="5" s="1"/>
  <c r="J69" i="5" a="1"/>
  <c r="J69" i="5" s="1"/>
  <c r="AB68" i="5"/>
  <c r="AF68" i="5"/>
  <c r="AJ68" i="5"/>
  <c r="AN68" i="5"/>
  <c r="AR68" i="5"/>
  <c r="AV68" i="5"/>
  <c r="AZ68" i="5"/>
  <c r="AD69" i="5" a="1"/>
  <c r="AD69" i="5" s="1"/>
  <c r="AH69" i="5" a="1"/>
  <c r="AH69" i="5" s="1"/>
  <c r="AL69" i="5" a="1"/>
  <c r="AL69" i="5" s="1"/>
  <c r="AP69" i="5" a="1"/>
  <c r="AP69" i="5" s="1"/>
  <c r="AT69" i="5" a="1"/>
  <c r="AT69" i="5" s="1"/>
  <c r="AX69" i="5" a="1"/>
  <c r="AX69" i="5" s="1"/>
  <c r="AD68" i="5"/>
  <c r="AI68" i="5"/>
  <c r="AO68" i="5"/>
  <c r="AT68" i="5"/>
  <c r="AY68" i="5"/>
  <c r="AF69" i="5" a="1"/>
  <c r="AF69" i="5" s="1"/>
  <c r="AK69" i="5" a="1"/>
  <c r="AK69" i="5" s="1"/>
  <c r="AQ69" i="5" a="1"/>
  <c r="AQ69" i="5" s="1"/>
  <c r="AV69" i="5" a="1"/>
  <c r="AV69" i="5" s="1"/>
  <c r="BA69" i="5" a="1"/>
  <c r="BA69" i="5" s="1"/>
  <c r="AR69" i="5" a="1"/>
  <c r="AR69" i="5" s="1"/>
  <c r="AX68" i="5"/>
  <c r="AJ69" i="5" a="1"/>
  <c r="AJ69" i="5" s="1"/>
  <c r="AO69" i="5" a="1"/>
  <c r="AO69" i="5" s="1"/>
  <c r="AE68" i="5"/>
  <c r="AK68" i="5"/>
  <c r="AP68" i="5"/>
  <c r="AU68" i="5"/>
  <c r="BA68" i="5"/>
  <c r="AB69" i="5" a="1"/>
  <c r="AB69" i="5" s="1"/>
  <c r="AG69" i="5" a="1"/>
  <c r="AG69" i="5" s="1"/>
  <c r="AM69" i="5" a="1"/>
  <c r="AM69" i="5" s="1"/>
  <c r="AW69" i="5" a="1"/>
  <c r="AW69" i="5" s="1"/>
  <c r="AC68" i="5"/>
  <c r="AH68" i="5"/>
  <c r="AM68" i="5"/>
  <c r="AS68" i="5"/>
  <c r="AU69" i="5" a="1"/>
  <c r="AU69" i="5" s="1"/>
  <c r="AG68" i="5"/>
  <c r="AL68" i="5"/>
  <c r="AQ68" i="5"/>
  <c r="AW68" i="5"/>
  <c r="AC69" i="5" a="1"/>
  <c r="AC69" i="5" s="1"/>
  <c r="AI69" i="5" a="1"/>
  <c r="AI69" i="5" s="1"/>
  <c r="AN69" i="5" a="1"/>
  <c r="AN69" i="5" s="1"/>
  <c r="AS69" i="5" a="1"/>
  <c r="AS69" i="5" s="1"/>
  <c r="AY69" i="5" a="1"/>
  <c r="AY69" i="5" s="1"/>
  <c r="AE69" i="5" a="1"/>
  <c r="AE69" i="5" s="1"/>
  <c r="AZ69" i="5" a="1"/>
  <c r="AZ69" i="5" s="1"/>
  <c r="J78" i="5" a="1"/>
  <c r="J78" i="5" s="1"/>
  <c r="M77" i="5"/>
  <c r="Y77" i="5"/>
  <c r="AC77" i="5"/>
  <c r="AG77" i="5"/>
  <c r="AK77" i="5"/>
  <c r="AO77" i="5"/>
  <c r="AS77" i="5"/>
  <c r="AW77" i="5"/>
  <c r="BA77" i="5"/>
  <c r="AC78" i="5" a="1"/>
  <c r="AC78" i="5" s="1"/>
  <c r="AF78" i="5" a="1"/>
  <c r="AF78" i="5" s="1"/>
  <c r="AK78" i="5" a="1"/>
  <c r="AK78" i="5" s="1"/>
  <c r="AN78" i="5" a="1"/>
  <c r="AN78" i="5" s="1"/>
  <c r="AS78" i="5" a="1"/>
  <c r="AS78" i="5" s="1"/>
  <c r="AV78" i="5" a="1"/>
  <c r="AV78" i="5" s="1"/>
  <c r="BA78" i="5" a="1"/>
  <c r="BA78" i="5" s="1"/>
  <c r="AA77" i="5"/>
  <c r="AF77" i="5"/>
  <c r="AL77" i="5"/>
  <c r="AQ77" i="5"/>
  <c r="AV77" i="5"/>
  <c r="AB78" i="5" a="1"/>
  <c r="AB78" i="5" s="1"/>
  <c r="AE78" i="5" a="1"/>
  <c r="AE78" i="5" s="1"/>
  <c r="AI78" i="5" a="1"/>
  <c r="AI78" i="5" s="1"/>
  <c r="AP78" i="5" a="1"/>
  <c r="AP78" i="5" s="1"/>
  <c r="AT78" i="5" a="1"/>
  <c r="AT78" i="5" s="1"/>
  <c r="AW78" i="5" a="1"/>
  <c r="AW78" i="5" s="1"/>
  <c r="AM77" i="5"/>
  <c r="AR77" i="5"/>
  <c r="AM78" i="5" a="1"/>
  <c r="AM78" i="5" s="1"/>
  <c r="AQ78" i="5" a="1"/>
  <c r="AQ78" i="5" s="1"/>
  <c r="AP77" i="5"/>
  <c r="AO78" i="5" a="1"/>
  <c r="AO78" i="5" s="1"/>
  <c r="BT77" i="5"/>
  <c r="BS77" i="5"/>
  <c r="AB77" i="5"/>
  <c r="AH77" i="5"/>
  <c r="AX77" i="5"/>
  <c r="AJ78" i="5" a="1"/>
  <c r="AJ78" i="5" s="1"/>
  <c r="AX78" i="5" a="1"/>
  <c r="AX78" i="5" s="1"/>
  <c r="Z77" i="5"/>
  <c r="AE77" i="5"/>
  <c r="AJ77" i="5"/>
  <c r="AZ77" i="5"/>
  <c r="AH78" i="5" a="1"/>
  <c r="AH78" i="5" s="1"/>
  <c r="AZ78" i="5" a="1"/>
  <c r="AZ78" i="5" s="1"/>
  <c r="AD77" i="5"/>
  <c r="AI77" i="5"/>
  <c r="AN77" i="5"/>
  <c r="AT77" i="5"/>
  <c r="AY77" i="5"/>
  <c r="AD78" i="5" a="1"/>
  <c r="AD78" i="5" s="1"/>
  <c r="AG78" i="5" a="1"/>
  <c r="AG78" i="5" s="1"/>
  <c r="AR78" i="5" a="1"/>
  <c r="AR78" i="5" s="1"/>
  <c r="AU78" i="5" a="1"/>
  <c r="AU78" i="5" s="1"/>
  <c r="AY78" i="5" a="1"/>
  <c r="AY78" i="5" s="1"/>
  <c r="X77" i="5"/>
  <c r="AU77" i="5"/>
  <c r="AL78" i="5" a="1"/>
  <c r="AL78" i="5" s="1"/>
  <c r="I71" i="15"/>
  <c r="BR83" i="5"/>
  <c r="W83" i="5"/>
  <c r="I38" i="15"/>
  <c r="I62" i="15"/>
  <c r="I44" i="15"/>
  <c r="I56" i="15"/>
  <c r="I50" i="15"/>
  <c r="I41" i="15"/>
  <c r="I53" i="15"/>
  <c r="I35" i="15"/>
  <c r="I47" i="15"/>
  <c r="I59" i="15"/>
  <c r="I49" i="5"/>
  <c r="I65" i="5"/>
  <c r="I52" i="5"/>
  <c r="I44" i="5"/>
  <c r="I60" i="5"/>
  <c r="I35" i="5"/>
  <c r="I68" i="5"/>
  <c r="I41" i="5"/>
  <c r="I57" i="5"/>
  <c r="I74" i="15"/>
  <c r="J80" i="5"/>
  <c r="I80" i="15"/>
  <c r="I65" i="15"/>
  <c r="I77" i="15"/>
  <c r="J83" i="5"/>
  <c r="BR71" i="5"/>
  <c r="H53" i="18"/>
  <c r="H81" i="18"/>
  <c r="J71" i="5"/>
  <c r="H97" i="18"/>
  <c r="H93" i="18"/>
  <c r="H89" i="18"/>
  <c r="H85" i="18"/>
  <c r="H77" i="18"/>
  <c r="H73" i="18"/>
  <c r="H69" i="18"/>
  <c r="H65" i="18"/>
  <c r="H61" i="18"/>
  <c r="H49" i="18"/>
  <c r="H45" i="18"/>
  <c r="H41" i="18"/>
  <c r="H37" i="18"/>
  <c r="K35" i="18"/>
  <c r="L35" i="18" s="1"/>
  <c r="M35" i="18" s="1"/>
  <c r="N35" i="18" s="1"/>
  <c r="O35" i="18" s="1"/>
  <c r="P35" i="18" s="1"/>
  <c r="Q35" i="18" s="1"/>
  <c r="R35" i="18" s="1"/>
  <c r="S35" i="18" s="1"/>
  <c r="T35" i="18" s="1"/>
  <c r="U35" i="18" s="1"/>
  <c r="V35" i="18" s="1"/>
  <c r="W35" i="18" s="1"/>
  <c r="X35" i="18" s="1"/>
  <c r="Y35" i="18" s="1"/>
  <c r="Z35" i="18" s="1"/>
  <c r="AA35" i="18" s="1"/>
  <c r="AB35" i="18" s="1"/>
  <c r="AC35" i="18" s="1"/>
  <c r="AD35" i="18" s="1"/>
  <c r="AE35" i="18" s="1"/>
  <c r="AF35" i="18" s="1"/>
  <c r="AG35" i="18" s="1"/>
  <c r="AH35" i="18" s="1"/>
  <c r="AI35" i="18" s="1"/>
  <c r="AJ35" i="18" s="1"/>
  <c r="AK35" i="18" s="1"/>
  <c r="I68" i="15"/>
  <c r="J86" i="5"/>
  <c r="I83" i="5"/>
  <c r="BR86" i="5"/>
  <c r="I86" i="5"/>
  <c r="W86" i="5"/>
  <c r="W77" i="5"/>
  <c r="W80" i="5"/>
  <c r="BR77" i="5"/>
  <c r="I77" i="5"/>
  <c r="J77" i="5"/>
  <c r="I80" i="5"/>
  <c r="BR80" i="5"/>
  <c r="BR74" i="5"/>
  <c r="W74" i="5"/>
  <c r="J74" i="5"/>
  <c r="I74" i="5"/>
  <c r="W71" i="5"/>
  <c r="I71" i="5"/>
  <c r="AL35" i="18" l="1"/>
  <c r="AM35" i="18" s="1"/>
  <c r="AN35" i="18" s="1"/>
  <c r="AO35" i="18" s="1"/>
  <c r="AP35" i="18" s="1"/>
  <c r="AQ35" i="18" s="1"/>
  <c r="AR35" i="18" s="1"/>
  <c r="AS35" i="18" s="1"/>
  <c r="AT35" i="18" s="1"/>
  <c r="AU35" i="18" s="1"/>
  <c r="AV35" i="18" s="1"/>
  <c r="AW35" i="18" s="1"/>
  <c r="AX35" i="18" s="1"/>
  <c r="AY35" i="18" s="1"/>
  <c r="AZ35" i="18" s="1"/>
  <c r="BA35" i="18" s="1"/>
  <c r="AA49" i="5"/>
  <c r="AA57" i="5"/>
  <c r="AA84" i="5" a="1"/>
  <c r="AA84" i="5" s="1"/>
  <c r="AA32" i="5"/>
  <c r="AA33" i="5"/>
  <c r="AA52" i="5"/>
  <c r="AA58" i="5" a="1"/>
  <c r="AA58" i="5" s="1"/>
  <c r="AA87" i="5" a="1"/>
  <c r="AA87" i="5" s="1"/>
  <c r="AA42" i="5" a="1"/>
  <c r="AA42" i="5" s="1"/>
  <c r="AA81" i="5" a="1"/>
  <c r="AA81" i="5" s="1"/>
  <c r="AA72" i="5" a="1"/>
  <c r="AA72" i="5" s="1"/>
  <c r="AA60" i="5"/>
  <c r="AA68" i="5"/>
  <c r="AA53" i="5" a="1"/>
  <c r="AA53" i="5" s="1"/>
  <c r="AA75" i="5" a="1"/>
  <c r="AA75" i="5" s="1"/>
  <c r="AA44" i="5"/>
  <c r="AA69" i="5" a="1"/>
  <c r="AA69" i="5" s="1"/>
  <c r="AA66" i="5" a="1"/>
  <c r="AA66" i="5" s="1"/>
  <c r="AA61" i="5" a="1"/>
  <c r="AA61" i="5" s="1"/>
  <c r="AA78" i="5" a="1"/>
  <c r="AA78" i="5" s="1"/>
  <c r="AA39" i="5" a="1"/>
  <c r="AA39" i="5" s="1"/>
  <c r="AA38" i="5"/>
  <c r="AA65" i="5"/>
  <c r="AA50" i="5" a="1"/>
  <c r="AA50" i="5" s="1"/>
  <c r="AA36" i="5" a="1"/>
  <c r="AA36" i="5" s="1"/>
  <c r="AA35" i="5"/>
  <c r="AA41" i="5"/>
  <c r="AA45" i="5" a="1"/>
  <c r="AA45" i="5" s="1"/>
  <c r="DN42" i="5" l="1"/>
  <c r="DM42" i="5"/>
  <c r="DM39" i="5"/>
  <c r="DL39" i="5"/>
  <c r="DP39" i="5"/>
  <c r="DO39" i="5"/>
  <c r="DN39" i="5"/>
  <c r="Y60" i="5"/>
  <c r="Y44" i="5"/>
  <c r="Y38" i="5"/>
  <c r="Z44" i="5"/>
  <c r="Y68" i="5"/>
  <c r="Y65" i="5"/>
  <c r="Z65" i="5"/>
  <c r="Z60" i="5"/>
  <c r="Y32" i="5"/>
  <c r="Y33" i="5"/>
  <c r="Y61" i="5" a="1"/>
  <c r="Y61" i="5" s="1"/>
  <c r="Y75" i="5" a="1"/>
  <c r="Y75" i="5" s="1"/>
  <c r="Y53" i="5" a="1"/>
  <c r="Y53" i="5" s="1"/>
  <c r="Y78" i="5" a="1"/>
  <c r="Y78" i="5" s="1"/>
  <c r="Y45" i="5" a="1"/>
  <c r="Y45" i="5" s="1"/>
  <c r="Y84" i="5" a="1"/>
  <c r="Y84" i="5" s="1"/>
  <c r="Y66" i="5" a="1"/>
  <c r="Y66" i="5" s="1"/>
  <c r="Y58" i="5" a="1"/>
  <c r="Y58" i="5" s="1"/>
  <c r="Y72" i="5" a="1"/>
  <c r="Y72" i="5" s="1"/>
  <c r="Y42" i="5" a="1"/>
  <c r="Y42" i="5" s="1"/>
  <c r="Y36" i="5" a="1"/>
  <c r="Y36" i="5" s="1"/>
  <c r="Y39" i="5" a="1"/>
  <c r="Y39" i="5" s="1"/>
  <c r="Y52" i="5"/>
  <c r="Y50" i="5" a="1"/>
  <c r="Y50" i="5" s="1"/>
  <c r="Y81" i="5" a="1"/>
  <c r="Y81" i="5" s="1"/>
  <c r="Y87" i="5" a="1"/>
  <c r="Y87" i="5" s="1"/>
  <c r="Y69" i="5" a="1"/>
  <c r="Y69" i="5" s="1"/>
  <c r="Y49" i="5"/>
  <c r="Y41" i="5"/>
  <c r="Y57" i="5"/>
  <c r="Z33" i="5"/>
  <c r="Z32" i="5"/>
  <c r="Z61" i="5" a="1"/>
  <c r="Z61" i="5" s="1"/>
  <c r="Z39" i="5" a="1"/>
  <c r="Z39" i="5" s="1"/>
  <c r="Z69" i="5" a="1"/>
  <c r="Z69" i="5" s="1"/>
  <c r="Z72" i="5" a="1"/>
  <c r="Z72" i="5" s="1"/>
  <c r="Z84" i="5" a="1"/>
  <c r="Z84" i="5" s="1"/>
  <c r="Z36" i="5" a="1"/>
  <c r="Z36" i="5" s="1"/>
  <c r="Z75" i="5" a="1"/>
  <c r="Z75" i="5" s="1"/>
  <c r="Z52" i="5"/>
  <c r="Z78" i="5" a="1"/>
  <c r="Z78" i="5" s="1"/>
  <c r="Z45" i="5" a="1"/>
  <c r="Z45" i="5" s="1"/>
  <c r="Z50" i="5" a="1"/>
  <c r="Z50" i="5" s="1"/>
  <c r="Z53" i="5" a="1"/>
  <c r="Z53" i="5" s="1"/>
  <c r="Z42" i="5" a="1"/>
  <c r="Z42" i="5" s="1"/>
  <c r="Z81" i="5" a="1"/>
  <c r="Z81" i="5" s="1"/>
  <c r="Z66" i="5" a="1"/>
  <c r="Z66" i="5" s="1"/>
  <c r="Z58" i="5" a="1"/>
  <c r="Z58" i="5" s="1"/>
  <c r="Z87" i="5" a="1"/>
  <c r="Z87" i="5" s="1"/>
  <c r="Z49" i="5"/>
  <c r="Z41" i="5"/>
  <c r="Z57" i="5"/>
  <c r="Z38" i="5"/>
  <c r="Z68" i="5"/>
  <c r="Y35" i="5"/>
  <c r="Z35" i="5"/>
  <c r="DN57" i="5"/>
  <c r="DL38" i="5"/>
  <c r="M38" i="5"/>
  <c r="M44" i="5"/>
  <c r="M49" i="5"/>
  <c r="DL57" i="5"/>
  <c r="DO41" i="5"/>
  <c r="DN38" i="5"/>
  <c r="DN49" i="5"/>
  <c r="DP49" i="5"/>
  <c r="DP57" i="5"/>
  <c r="DL41" i="5"/>
  <c r="DM41" i="5"/>
  <c r="DP41" i="5"/>
  <c r="DM57" i="5"/>
  <c r="M32" i="5"/>
  <c r="M33" i="5"/>
  <c r="M45" i="5" a="1"/>
  <c r="M45" i="5" s="1"/>
  <c r="M75" i="5" a="1"/>
  <c r="M75" i="5" s="1"/>
  <c r="M87" i="5" a="1"/>
  <c r="M87" i="5" s="1"/>
  <c r="M52" i="5"/>
  <c r="M72" i="5" a="1"/>
  <c r="M72" i="5" s="1"/>
  <c r="M69" i="5" a="1"/>
  <c r="M69" i="5" s="1"/>
  <c r="M78" i="5" a="1"/>
  <c r="M78" i="5" s="1"/>
  <c r="M61" i="5" a="1"/>
  <c r="M61" i="5" s="1"/>
  <c r="M84" i="5" a="1"/>
  <c r="M84" i="5" s="1"/>
  <c r="M42" i="5" a="1"/>
  <c r="M42" i="5" s="1"/>
  <c r="M81" i="5" a="1"/>
  <c r="M81" i="5" s="1"/>
  <c r="M50" i="5" a="1"/>
  <c r="M50" i="5" s="1"/>
  <c r="M58" i="5" a="1"/>
  <c r="M58" i="5" s="1"/>
  <c r="M66" i="5" a="1"/>
  <c r="M66" i="5" s="1"/>
  <c r="M53" i="5" a="1"/>
  <c r="M53" i="5" s="1"/>
  <c r="M36" i="5" a="1"/>
  <c r="M36" i="5" s="1"/>
  <c r="M39" i="5" a="1"/>
  <c r="M39" i="5" s="1"/>
  <c r="M41" i="5"/>
  <c r="M57" i="5"/>
  <c r="DO38" i="5"/>
  <c r="DO49" i="5"/>
  <c r="DN41" i="5"/>
  <c r="M35" i="5"/>
  <c r="M60" i="5"/>
  <c r="M65" i="5"/>
  <c r="M68" i="5"/>
  <c r="DO57" i="5"/>
  <c r="DP38" i="5"/>
  <c r="DL49" i="5"/>
  <c r="DM38" i="5"/>
  <c r="DM49" i="5"/>
  <c r="H7" i="14"/>
  <c r="H9" i="14"/>
  <c r="H10" i="14"/>
  <c r="H14" i="14"/>
  <c r="H12" i="14"/>
  <c r="H6" i="14"/>
  <c r="I9" i="14" a="1"/>
  <c r="I9" i="14" s="1"/>
  <c r="I12" i="14" a="1"/>
  <c r="I12" i="14" s="1"/>
  <c r="I17" i="14" a="1"/>
  <c r="I17" i="14" s="1"/>
  <c r="I20" i="14" a="1"/>
  <c r="I20" i="14" s="1"/>
  <c r="H11" i="14"/>
  <c r="I7" i="14" a="1"/>
  <c r="I7" i="14" s="1"/>
  <c r="I15" i="14" a="1"/>
  <c r="I15" i="14" s="1"/>
  <c r="I8" i="14" a="1"/>
  <c r="I8" i="14" s="1"/>
  <c r="I16" i="14" a="1"/>
  <c r="I16" i="14" s="1"/>
  <c r="I11" i="14" a="1"/>
  <c r="I11" i="14" s="1"/>
  <c r="I14" i="14" a="1"/>
  <c r="I14" i="14" s="1"/>
  <c r="I19" i="14" a="1"/>
  <c r="I19" i="14" s="1"/>
  <c r="I6" i="14" a="1"/>
  <c r="I6" i="14" s="1"/>
  <c r="I10" i="14" a="1"/>
  <c r="I10" i="14" s="1"/>
  <c r="I18" i="14" a="1"/>
  <c r="I18" i="14" s="1"/>
  <c r="I13" i="14" a="1"/>
  <c r="I13" i="14" s="1"/>
  <c r="I21" i="14" a="1"/>
  <c r="I21" i="14" s="1"/>
  <c r="H8" i="14"/>
  <c r="H13" i="14"/>
  <c r="H15" i="14"/>
  <c r="O5" i="5"/>
  <c r="O13" i="5"/>
  <c r="O21" i="5"/>
  <c r="O29" i="5"/>
  <c r="O6" i="5"/>
  <c r="O14" i="5"/>
  <c r="O18" i="5"/>
  <c r="O26" i="5"/>
  <c r="O7" i="5"/>
  <c r="O11" i="5"/>
  <c r="O15" i="5"/>
  <c r="O19" i="5"/>
  <c r="O23" i="5"/>
  <c r="O27" i="5"/>
  <c r="O9" i="5"/>
  <c r="O17" i="5"/>
  <c r="O25" i="5"/>
  <c r="O10" i="5"/>
  <c r="O22" i="5"/>
  <c r="O30" i="5"/>
  <c r="O8" i="5"/>
  <c r="O12" i="5"/>
  <c r="O16" i="5"/>
  <c r="O24" i="5"/>
  <c r="O28" i="5"/>
  <c r="O20" i="5"/>
  <c r="N60" i="5"/>
  <c r="N38" i="5"/>
  <c r="O65" i="5" l="1"/>
  <c r="O60" i="5"/>
  <c r="O49" i="5"/>
  <c r="O41" i="5"/>
  <c r="N35" i="5"/>
  <c r="N41" i="5"/>
  <c r="N57" i="5"/>
  <c r="O57" i="5"/>
  <c r="N49" i="5"/>
  <c r="O35" i="5"/>
  <c r="N50" i="5" a="1"/>
  <c r="N50" i="5" s="1"/>
  <c r="N58" i="5" a="1"/>
  <c r="N58" i="5" s="1"/>
  <c r="N61" i="5" a="1"/>
  <c r="N61" i="5" s="1"/>
  <c r="N69" i="5" a="1"/>
  <c r="N69" i="5" s="1"/>
  <c r="N39" i="5" a="1"/>
  <c r="N39" i="5" s="1"/>
  <c r="N66" i="5" a="1"/>
  <c r="N66" i="5" s="1"/>
  <c r="N33" i="5"/>
  <c r="N72" i="5" a="1"/>
  <c r="N72" i="5" s="1"/>
  <c r="N78" i="5" a="1"/>
  <c r="N78" i="5" s="1"/>
  <c r="N81" i="5" a="1"/>
  <c r="N81" i="5" s="1"/>
  <c r="N84" i="5" a="1"/>
  <c r="N84" i="5" s="1"/>
  <c r="N87" i="5" a="1"/>
  <c r="N87" i="5" s="1"/>
  <c r="N32" i="5"/>
  <c r="N36" i="5" a="1"/>
  <c r="N36" i="5" s="1"/>
  <c r="N42" i="5" a="1"/>
  <c r="N42" i="5" s="1"/>
  <c r="N45" i="5" a="1"/>
  <c r="N45" i="5" s="1"/>
  <c r="N75" i="5" a="1"/>
  <c r="N75" i="5" s="1"/>
  <c r="N53" i="5" a="1"/>
  <c r="N53" i="5" s="1"/>
  <c r="O33" i="5"/>
  <c r="O72" i="5" a="1"/>
  <c r="O72" i="5" s="1"/>
  <c r="O75" i="5" a="1"/>
  <c r="O75" i="5" s="1"/>
  <c r="O78" i="5" a="1"/>
  <c r="O78" i="5" s="1"/>
  <c r="O81" i="5" a="1"/>
  <c r="O81" i="5" s="1"/>
  <c r="O42" i="5" a="1"/>
  <c r="O42" i="5" s="1"/>
  <c r="O45" i="5" a="1"/>
  <c r="O45" i="5" s="1"/>
  <c r="O50" i="5" a="1"/>
  <c r="O50" i="5" s="1"/>
  <c r="O53" i="5" a="1"/>
  <c r="O53" i="5" s="1"/>
  <c r="O39" i="5" a="1"/>
  <c r="O39" i="5" s="1"/>
  <c r="O61" i="5" a="1"/>
  <c r="O61" i="5" s="1"/>
  <c r="O58" i="5" a="1"/>
  <c r="O58" i="5" s="1"/>
  <c r="O84" i="5" a="1"/>
  <c r="O84" i="5" s="1"/>
  <c r="O87" i="5" a="1"/>
  <c r="O87" i="5" s="1"/>
  <c r="O32" i="5"/>
  <c r="O69" i="5" a="1"/>
  <c r="O69" i="5" s="1"/>
  <c r="O66" i="5" a="1"/>
  <c r="O66" i="5" s="1"/>
  <c r="O36" i="5" a="1"/>
  <c r="O36" i="5" s="1"/>
  <c r="N44" i="5"/>
  <c r="O44" i="5"/>
  <c r="O52" i="5"/>
  <c r="N52" i="5"/>
  <c r="O38" i="5"/>
  <c r="CP65" i="5"/>
  <c r="CK35" i="5"/>
  <c r="DM44" i="5"/>
  <c r="BV65" i="5"/>
  <c r="BV52" i="5"/>
  <c r="DM50" i="5"/>
  <c r="DM52" i="5" s="1"/>
  <c r="DM58" i="5"/>
  <c r="DM60" i="5" s="1"/>
  <c r="DN50" i="5"/>
  <c r="DN52" i="5" s="1"/>
  <c r="DL58" i="5"/>
  <c r="DL60" i="5" s="1"/>
  <c r="DO58" i="5"/>
  <c r="DO60" i="5" s="1"/>
  <c r="DL50" i="5"/>
  <c r="DL52" i="5" s="1"/>
  <c r="DO50" i="5"/>
  <c r="DO52" i="5" s="1"/>
  <c r="DN58" i="5"/>
  <c r="DN60" i="5" s="1"/>
  <c r="DP42" i="5"/>
  <c r="DP44" i="5" s="1"/>
  <c r="DN44" i="5"/>
  <c r="DL42" i="5"/>
  <c r="DL44" i="5" s="1"/>
  <c r="DP50" i="5"/>
  <c r="DP52" i="5" s="1"/>
  <c r="DP58" i="5"/>
  <c r="DP60" i="5" s="1"/>
  <c r="DO42" i="5"/>
  <c r="DO44" i="5" s="1"/>
  <c r="CD68" i="5"/>
  <c r="BU49" i="5"/>
  <c r="CB35" i="5"/>
  <c r="CE38" i="5"/>
  <c r="CF35" i="5"/>
  <c r="CE60" i="5"/>
  <c r="BU38" i="5"/>
  <c r="CD52" i="5"/>
  <c r="CO35" i="5"/>
  <c r="DD35" i="5"/>
  <c r="BZ57" i="5"/>
  <c r="BX35" i="5"/>
  <c r="DA35" i="5"/>
  <c r="CN65" i="5"/>
  <c r="CZ38" i="5"/>
  <c r="CR68" i="5"/>
  <c r="CL41" i="5"/>
  <c r="BV36" i="5" a="1"/>
  <c r="BV36" i="5" s="1"/>
  <c r="BV57" i="5"/>
  <c r="CN35" i="5"/>
  <c r="CT68" i="5"/>
  <c r="CX38" i="5"/>
  <c r="CU38" i="5"/>
  <c r="BU57" i="5"/>
  <c r="CF60" i="5"/>
  <c r="CB41" i="5"/>
  <c r="CD41" i="5"/>
  <c r="CK41" i="5"/>
  <c r="CU41" i="5"/>
  <c r="CE41" i="5"/>
  <c r="CR41" i="5"/>
  <c r="BW60" i="5"/>
  <c r="DC60" i="5"/>
  <c r="BX49" i="5"/>
  <c r="BZ49" i="5"/>
  <c r="CF49" i="5"/>
  <c r="CP49" i="5"/>
  <c r="CV49" i="5"/>
  <c r="DD57" i="5"/>
  <c r="CN57" i="5"/>
  <c r="CB38" i="5"/>
  <c r="BV49" i="5"/>
  <c r="CN60" i="5"/>
  <c r="CG41" i="5"/>
  <c r="CJ41" i="5"/>
  <c r="CZ44" i="5"/>
  <c r="CR57" i="5"/>
  <c r="CN38" i="5"/>
  <c r="CH52" i="5"/>
  <c r="CL52" i="5"/>
  <c r="CX52" i="5"/>
  <c r="CC35" i="5"/>
  <c r="CY44" i="5"/>
  <c r="CK38" i="5"/>
  <c r="CT35" i="5"/>
  <c r="CD35" i="5"/>
  <c r="BY57" i="5"/>
  <c r="CA68" i="5"/>
  <c r="CV68" i="5"/>
  <c r="CZ68" i="5"/>
  <c r="CS68" i="5"/>
  <c r="CS65" i="5"/>
  <c r="CI65" i="5"/>
  <c r="BZ60" i="5"/>
  <c r="DB60" i="5"/>
  <c r="DC35" i="5"/>
  <c r="CM57" i="5"/>
  <c r="DD60" i="5"/>
  <c r="X68" i="5"/>
  <c r="X60" i="5"/>
  <c r="X32" i="5"/>
  <c r="X33" i="5"/>
  <c r="X45" i="5" a="1"/>
  <c r="X45" i="5" s="1"/>
  <c r="X42" i="5" a="1"/>
  <c r="X42" i="5" s="1"/>
  <c r="X87" i="5" a="1"/>
  <c r="X87" i="5" s="1"/>
  <c r="X52" i="5"/>
  <c r="X61" i="5" a="1"/>
  <c r="X61" i="5" s="1"/>
  <c r="X81" i="5" a="1"/>
  <c r="X81" i="5" s="1"/>
  <c r="X75" i="5" a="1"/>
  <c r="X75" i="5" s="1"/>
  <c r="X53" i="5" a="1"/>
  <c r="X53" i="5" s="1"/>
  <c r="X78" i="5" a="1"/>
  <c r="X78" i="5" s="1"/>
  <c r="X36" i="5" a="1"/>
  <c r="X36" i="5" s="1"/>
  <c r="X50" i="5" a="1"/>
  <c r="X50" i="5" s="1"/>
  <c r="X58" i="5" a="1"/>
  <c r="X58" i="5" s="1"/>
  <c r="X39" i="5" a="1"/>
  <c r="X39" i="5" s="1"/>
  <c r="X69" i="5" a="1"/>
  <c r="X69" i="5" s="1"/>
  <c r="X84" i="5" a="1"/>
  <c r="X84" i="5" s="1"/>
  <c r="X72" i="5" a="1"/>
  <c r="X72" i="5" s="1"/>
  <c r="X66" i="5" a="1"/>
  <c r="X66" i="5" s="1"/>
  <c r="X49" i="5"/>
  <c r="X41" i="5"/>
  <c r="X57" i="5"/>
  <c r="W72" i="5" a="1"/>
  <c r="W72" i="5" s="1"/>
  <c r="W81" i="5" a="1"/>
  <c r="W81" i="5" s="1"/>
  <c r="W50" i="5" a="1"/>
  <c r="W50" i="5" s="1"/>
  <c r="W66" i="5" a="1"/>
  <c r="W66" i="5" s="1"/>
  <c r="W53" i="5" a="1"/>
  <c r="W53" i="5" s="1"/>
  <c r="W45" i="5" a="1"/>
  <c r="W45" i="5" s="1"/>
  <c r="W61" i="5" a="1"/>
  <c r="W61" i="5" s="1"/>
  <c r="W87" i="5" a="1"/>
  <c r="W87" i="5" s="1"/>
  <c r="W39" i="5" a="1"/>
  <c r="W39" i="5" s="1"/>
  <c r="W69" i="5" a="1"/>
  <c r="W69" i="5" s="1"/>
  <c r="W42" i="5" a="1"/>
  <c r="W42" i="5" s="1"/>
  <c r="W84" i="5" a="1"/>
  <c r="W84" i="5" s="1"/>
  <c r="W58" i="5" a="1"/>
  <c r="W58" i="5" s="1"/>
  <c r="W78" i="5" a="1"/>
  <c r="W78" i="5" s="1"/>
  <c r="W36" i="5" a="1"/>
  <c r="W36" i="5" s="1"/>
  <c r="W75" i="5" a="1"/>
  <c r="W75" i="5" s="1"/>
  <c r="BU35" i="5"/>
  <c r="CP52" i="5"/>
  <c r="CT52" i="5"/>
  <c r="CD57" i="5"/>
  <c r="CX57" i="5"/>
  <c r="BZ65" i="5"/>
  <c r="CX65" i="5"/>
  <c r="CS35" i="5"/>
  <c r="CR35" i="5"/>
  <c r="BX65" i="5"/>
  <c r="CB65" i="5"/>
  <c r="CF65" i="5"/>
  <c r="CR65" i="5"/>
  <c r="CJ65" i="5"/>
  <c r="DD65" i="5"/>
  <c r="CQ44" i="5"/>
  <c r="CA60" i="5"/>
  <c r="BW84" i="5" a="1"/>
  <c r="BW84" i="5" s="1"/>
  <c r="BW49" i="5"/>
  <c r="CA49" i="5"/>
  <c r="CE84" i="5" a="1"/>
  <c r="CE84" i="5" s="1"/>
  <c r="CE49" i="5"/>
  <c r="CX49" i="5"/>
  <c r="CZ49" i="5"/>
  <c r="CJ49" i="5"/>
  <c r="CQ49" i="5"/>
  <c r="BV53" i="5" a="1"/>
  <c r="BV53" i="5" s="1"/>
  <c r="BV87" i="5" a="1"/>
  <c r="BV87" i="5" s="1"/>
  <c r="BV69" i="5" a="1"/>
  <c r="BV69" i="5" s="1"/>
  <c r="BV84" i="5" a="1"/>
  <c r="BV84" i="5" s="1"/>
  <c r="CV57" i="5"/>
  <c r="BX38" i="5"/>
  <c r="CV38" i="5"/>
  <c r="BY44" i="5"/>
  <c r="CC87" i="5" a="1"/>
  <c r="CC87" i="5" s="1"/>
  <c r="CC44" i="5"/>
  <c r="CG44" i="5"/>
  <c r="CK44" i="5"/>
  <c r="DA87" i="5" a="1"/>
  <c r="DA87" i="5" s="1"/>
  <c r="DA44" i="5"/>
  <c r="DB81" i="5" a="1"/>
  <c r="DB81" i="5" s="1"/>
  <c r="DB44" i="5"/>
  <c r="CL81" i="5" a="1"/>
  <c r="CL81" i="5" s="1"/>
  <c r="CL44" i="5"/>
  <c r="CX68" i="5"/>
  <c r="CH68" i="5"/>
  <c r="CA38" i="5"/>
  <c r="CD38" i="5"/>
  <c r="CY38" i="5"/>
  <c r="CI38" i="5"/>
  <c r="BV60" i="5"/>
  <c r="BU32" i="5"/>
  <c r="BU33" i="5"/>
  <c r="BU87" i="5" a="1"/>
  <c r="BU87" i="5" s="1"/>
  <c r="BU42" i="5" a="1"/>
  <c r="BU42" i="5" s="1"/>
  <c r="BU58" i="5" a="1"/>
  <c r="BU58" i="5" s="1"/>
  <c r="BU61" i="5" a="1"/>
  <c r="BU61" i="5" s="1"/>
  <c r="BU72" i="5" a="1"/>
  <c r="BU72" i="5" s="1"/>
  <c r="BU52" i="5"/>
  <c r="BU84" i="5" a="1"/>
  <c r="BU84" i="5" s="1"/>
  <c r="BU66" i="5" a="1"/>
  <c r="BU66" i="5" s="1"/>
  <c r="BU39" i="5" a="1"/>
  <c r="BU39" i="5" s="1"/>
  <c r="BU36" i="5" a="1"/>
  <c r="BU36" i="5" s="1"/>
  <c r="BU75" i="5" a="1"/>
  <c r="BU75" i="5" s="1"/>
  <c r="BU81" i="5" a="1"/>
  <c r="BU81" i="5" s="1"/>
  <c r="BU53" i="5" a="1"/>
  <c r="BU53" i="5" s="1"/>
  <c r="BU78" i="5" a="1"/>
  <c r="BU78" i="5" s="1"/>
  <c r="BU50" i="5" a="1"/>
  <c r="BU50" i="5" s="1"/>
  <c r="BU69" i="5" a="1"/>
  <c r="BU69" i="5" s="1"/>
  <c r="BU45" i="5" a="1"/>
  <c r="BU45" i="5" s="1"/>
  <c r="CO38" i="5"/>
  <c r="BZ35" i="5"/>
  <c r="CX35" i="5"/>
  <c r="CH35" i="5"/>
  <c r="BY68" i="5"/>
  <c r="CC68" i="5"/>
  <c r="CU68" i="5"/>
  <c r="CM68" i="5"/>
  <c r="CI68" i="5"/>
  <c r="DB68" i="5"/>
  <c r="CW68" i="5"/>
  <c r="CG68" i="5"/>
  <c r="CS42" i="5" a="1"/>
  <c r="CS42" i="5" s="1"/>
  <c r="CW49" i="5"/>
  <c r="CA65" i="5"/>
  <c r="CO65" i="5"/>
  <c r="DA65" i="5"/>
  <c r="DC65" i="5"/>
  <c r="CM65" i="5"/>
  <c r="BY60" i="5"/>
  <c r="CD60" i="5"/>
  <c r="CH60" i="5"/>
  <c r="CL60" i="5"/>
  <c r="CZ60" i="5"/>
  <c r="CV60" i="5"/>
  <c r="CP60" i="5"/>
  <c r="CA35" i="5"/>
  <c r="CQ35" i="5"/>
  <c r="CI35" i="5"/>
  <c r="CE35" i="5"/>
  <c r="CA57" i="5"/>
  <c r="CP57" i="5"/>
  <c r="CU57" i="5"/>
  <c r="CC41" i="5"/>
  <c r="CX41" i="5"/>
  <c r="DB41" i="5"/>
  <c r="CY41" i="5"/>
  <c r="CI41" i="5"/>
  <c r="CF41" i="5"/>
  <c r="BW87" i="5" a="1"/>
  <c r="BW87" i="5" s="1"/>
  <c r="BW33" i="5"/>
  <c r="BW32" i="5"/>
  <c r="BW66" i="5" a="1"/>
  <c r="BW66" i="5" s="1"/>
  <c r="BW42" i="5" a="1"/>
  <c r="BW42" i="5" s="1"/>
  <c r="BW81" i="5" a="1"/>
  <c r="BW81" i="5" s="1"/>
  <c r="BW61" i="5" a="1"/>
  <c r="BW61" i="5" s="1"/>
  <c r="BW72" i="5" a="1"/>
  <c r="BW72" i="5" s="1"/>
  <c r="BW36" i="5" a="1"/>
  <c r="BW36" i="5" s="1"/>
  <c r="BW58" i="5" a="1"/>
  <c r="BW58" i="5" s="1"/>
  <c r="BW53" i="5" a="1"/>
  <c r="BW53" i="5" s="1"/>
  <c r="BW75" i="5" a="1"/>
  <c r="BW75" i="5" s="1"/>
  <c r="BW69" i="5" a="1"/>
  <c r="BW69" i="5" s="1"/>
  <c r="BW78" i="5" a="1"/>
  <c r="BW78" i="5" s="1"/>
  <c r="BW45" i="5" a="1"/>
  <c r="BW45" i="5" s="1"/>
  <c r="BW50" i="5" a="1"/>
  <c r="BW50" i="5" s="1"/>
  <c r="BW39" i="5" a="1"/>
  <c r="BW39" i="5" s="1"/>
  <c r="BW52" i="5"/>
  <c r="CA52" i="5"/>
  <c r="CA32" i="5"/>
  <c r="CA33" i="5"/>
  <c r="CA66" i="5" a="1"/>
  <c r="CA66" i="5" s="1"/>
  <c r="CA58" i="5" a="1"/>
  <c r="CA58" i="5" s="1"/>
  <c r="CA45" i="5" a="1"/>
  <c r="CA45" i="5" s="1"/>
  <c r="CA84" i="5" a="1"/>
  <c r="CA84" i="5" s="1"/>
  <c r="CA81" i="5" a="1"/>
  <c r="CA81" i="5" s="1"/>
  <c r="CA61" i="5" a="1"/>
  <c r="CA61" i="5" s="1"/>
  <c r="CA69" i="5" a="1"/>
  <c r="CA69" i="5" s="1"/>
  <c r="CA78" i="5" a="1"/>
  <c r="CA78" i="5" s="1"/>
  <c r="CA36" i="5" a="1"/>
  <c r="CA36" i="5" s="1"/>
  <c r="CA87" i="5" a="1"/>
  <c r="CA87" i="5" s="1"/>
  <c r="CA50" i="5" a="1"/>
  <c r="CA50" i="5" s="1"/>
  <c r="CA39" i="5" a="1"/>
  <c r="CA39" i="5" s="1"/>
  <c r="CA53" i="5" a="1"/>
  <c r="CA53" i="5" s="1"/>
  <c r="CA72" i="5" a="1"/>
  <c r="CA72" i="5" s="1"/>
  <c r="CA75" i="5" a="1"/>
  <c r="CA75" i="5" s="1"/>
  <c r="CA42" i="5" a="1"/>
  <c r="CA42" i="5" s="1"/>
  <c r="CE52" i="5"/>
  <c r="CE33" i="5"/>
  <c r="CE32" i="5"/>
  <c r="CE72" i="5" a="1"/>
  <c r="CE72" i="5" s="1"/>
  <c r="CE36" i="5" a="1"/>
  <c r="CE36" i="5" s="1"/>
  <c r="CE66" i="5" a="1"/>
  <c r="CE66" i="5" s="1"/>
  <c r="CE39" i="5" a="1"/>
  <c r="CE39" i="5" s="1"/>
  <c r="CE45" i="5" a="1"/>
  <c r="CE45" i="5" s="1"/>
  <c r="CE61" i="5" a="1"/>
  <c r="CE61" i="5" s="1"/>
  <c r="CE50" i="5" a="1"/>
  <c r="CE50" i="5" s="1"/>
  <c r="CE53" i="5" a="1"/>
  <c r="CE53" i="5" s="1"/>
  <c r="CE69" i="5" a="1"/>
  <c r="CE69" i="5" s="1"/>
  <c r="CE58" i="5" a="1"/>
  <c r="CE58" i="5" s="1"/>
  <c r="CE81" i="5" a="1"/>
  <c r="CE81" i="5" s="1"/>
  <c r="CE78" i="5" a="1"/>
  <c r="CE78" i="5" s="1"/>
  <c r="CE75" i="5" a="1"/>
  <c r="CE75" i="5" s="1"/>
  <c r="CE42" i="5" a="1"/>
  <c r="CE42" i="5" s="1"/>
  <c r="CE87" i="5" a="1"/>
  <c r="CE87" i="5" s="1"/>
  <c r="CI32" i="5"/>
  <c r="CI33" i="5"/>
  <c r="CI45" i="5" a="1"/>
  <c r="CI45" i="5" s="1"/>
  <c r="CI50" i="5" a="1"/>
  <c r="CI50" i="5" s="1"/>
  <c r="CI75" i="5" a="1"/>
  <c r="CI75" i="5" s="1"/>
  <c r="CI61" i="5" a="1"/>
  <c r="CI61" i="5" s="1"/>
  <c r="CI52" i="5"/>
  <c r="CI53" i="5" a="1"/>
  <c r="CI53" i="5" s="1"/>
  <c r="CI84" i="5" a="1"/>
  <c r="CI84" i="5" s="1"/>
  <c r="CI87" i="5" a="1"/>
  <c r="CI87" i="5" s="1"/>
  <c r="CI78" i="5" a="1"/>
  <c r="CI78" i="5" s="1"/>
  <c r="CI72" i="5" a="1"/>
  <c r="CI72" i="5" s="1"/>
  <c r="CI36" i="5" a="1"/>
  <c r="CI36" i="5" s="1"/>
  <c r="CI42" i="5" a="1"/>
  <c r="CI42" i="5" s="1"/>
  <c r="CI69" i="5" a="1"/>
  <c r="CI69" i="5" s="1"/>
  <c r="CI58" i="5" a="1"/>
  <c r="CI58" i="5" s="1"/>
  <c r="CI81" i="5" a="1"/>
  <c r="CI81" i="5" s="1"/>
  <c r="CI39" i="5" a="1"/>
  <c r="CI39" i="5" s="1"/>
  <c r="CM87" i="5" a="1"/>
  <c r="CM87" i="5" s="1"/>
  <c r="CM33" i="5"/>
  <c r="CM32" i="5"/>
  <c r="CM36" i="5" a="1"/>
  <c r="CM36" i="5" s="1"/>
  <c r="CM42" i="5" a="1"/>
  <c r="CM42" i="5" s="1"/>
  <c r="CM58" i="5" a="1"/>
  <c r="CM58" i="5" s="1"/>
  <c r="CM45" i="5" a="1"/>
  <c r="CM45" i="5" s="1"/>
  <c r="CM50" i="5" a="1"/>
  <c r="CM50" i="5" s="1"/>
  <c r="CM61" i="5" a="1"/>
  <c r="CM61" i="5" s="1"/>
  <c r="CM39" i="5" a="1"/>
  <c r="CM39" i="5" s="1"/>
  <c r="CM66" i="5" a="1"/>
  <c r="CM66" i="5" s="1"/>
  <c r="CM52" i="5"/>
  <c r="CM69" i="5" a="1"/>
  <c r="CM69" i="5" s="1"/>
  <c r="CM72" i="5" a="1"/>
  <c r="CM72" i="5" s="1"/>
  <c r="CM75" i="5" a="1"/>
  <c r="CM75" i="5" s="1"/>
  <c r="CM81" i="5" a="1"/>
  <c r="CM81" i="5" s="1"/>
  <c r="CM53" i="5" a="1"/>
  <c r="CM53" i="5" s="1"/>
  <c r="CM78" i="5" a="1"/>
  <c r="CM78" i="5" s="1"/>
  <c r="CQ52" i="5"/>
  <c r="CQ33" i="5"/>
  <c r="CQ32" i="5"/>
  <c r="CQ45" i="5" a="1"/>
  <c r="CQ45" i="5" s="1"/>
  <c r="CQ87" i="5" a="1"/>
  <c r="CQ87" i="5" s="1"/>
  <c r="CQ39" i="5" a="1"/>
  <c r="CQ39" i="5" s="1"/>
  <c r="CQ53" i="5" a="1"/>
  <c r="CQ53" i="5" s="1"/>
  <c r="CQ72" i="5" a="1"/>
  <c r="CQ72" i="5" s="1"/>
  <c r="CQ75" i="5" a="1"/>
  <c r="CQ75" i="5" s="1"/>
  <c r="CQ36" i="5" a="1"/>
  <c r="CQ36" i="5" s="1"/>
  <c r="CQ50" i="5" a="1"/>
  <c r="CQ50" i="5" s="1"/>
  <c r="CQ58" i="5" a="1"/>
  <c r="CQ58" i="5" s="1"/>
  <c r="CQ61" i="5" a="1"/>
  <c r="CQ61" i="5" s="1"/>
  <c r="CQ78" i="5" a="1"/>
  <c r="CQ78" i="5" s="1"/>
  <c r="CQ66" i="5" a="1"/>
  <c r="CQ66" i="5" s="1"/>
  <c r="CQ81" i="5" a="1"/>
  <c r="CQ81" i="5" s="1"/>
  <c r="CQ69" i="5" a="1"/>
  <c r="CQ69" i="5" s="1"/>
  <c r="CQ84" i="5" a="1"/>
  <c r="CQ84" i="5" s="1"/>
  <c r="CQ42" i="5" a="1"/>
  <c r="CQ42" i="5" s="1"/>
  <c r="DA33" i="5"/>
  <c r="DA32" i="5"/>
  <c r="DA66" i="5" a="1"/>
  <c r="DA66" i="5" s="1"/>
  <c r="DA69" i="5" a="1"/>
  <c r="DA69" i="5" s="1"/>
  <c r="DA45" i="5" a="1"/>
  <c r="DA45" i="5" s="1"/>
  <c r="DA58" i="5" a="1"/>
  <c r="DA58" i="5" s="1"/>
  <c r="DA72" i="5" a="1"/>
  <c r="DA72" i="5" s="1"/>
  <c r="DA36" i="5" a="1"/>
  <c r="DA36" i="5" s="1"/>
  <c r="DA75" i="5" a="1"/>
  <c r="DA75" i="5" s="1"/>
  <c r="DA81" i="5" a="1"/>
  <c r="DA81" i="5" s="1"/>
  <c r="DA39" i="5" a="1"/>
  <c r="DA39" i="5" s="1"/>
  <c r="DA53" i="5" a="1"/>
  <c r="DA53" i="5" s="1"/>
  <c r="DA52" i="5"/>
  <c r="DA50" i="5" a="1"/>
  <c r="DA50" i="5" s="1"/>
  <c r="DA42" i="5" a="1"/>
  <c r="DA42" i="5" s="1"/>
  <c r="DA61" i="5" a="1"/>
  <c r="DA61" i="5" s="1"/>
  <c r="DA78" i="5" a="1"/>
  <c r="DA78" i="5" s="1"/>
  <c r="DD81" i="5" a="1"/>
  <c r="DD81" i="5" s="1"/>
  <c r="DD33" i="5"/>
  <c r="DD32" i="5"/>
  <c r="DD72" i="5" a="1"/>
  <c r="DD72" i="5" s="1"/>
  <c r="DD66" i="5" a="1"/>
  <c r="DD66" i="5" s="1"/>
  <c r="DD42" i="5" a="1"/>
  <c r="DD42" i="5" s="1"/>
  <c r="DD53" i="5" a="1"/>
  <c r="DD53" i="5" s="1"/>
  <c r="DD45" i="5" a="1"/>
  <c r="DD45" i="5" s="1"/>
  <c r="DD36" i="5" a="1"/>
  <c r="DD36" i="5" s="1"/>
  <c r="DD87" i="5" a="1"/>
  <c r="DD87" i="5" s="1"/>
  <c r="DD58" i="5" a="1"/>
  <c r="DD58" i="5" s="1"/>
  <c r="DD52" i="5"/>
  <c r="DD69" i="5" a="1"/>
  <c r="DD69" i="5" s="1"/>
  <c r="DD78" i="5" a="1"/>
  <c r="DD78" i="5" s="1"/>
  <c r="DD39" i="5" a="1"/>
  <c r="DD39" i="5" s="1"/>
  <c r="DD84" i="5" a="1"/>
  <c r="DD84" i="5" s="1"/>
  <c r="DD50" i="5" a="1"/>
  <c r="DD50" i="5" s="1"/>
  <c r="DD75" i="5" a="1"/>
  <c r="DD75" i="5" s="1"/>
  <c r="DD61" i="5" a="1"/>
  <c r="DD61" i="5" s="1"/>
  <c r="DC87" i="5" a="1"/>
  <c r="DC87" i="5" s="1"/>
  <c r="DC33" i="5"/>
  <c r="DC32" i="5"/>
  <c r="DC84" i="5" a="1"/>
  <c r="DC84" i="5" s="1"/>
  <c r="DC36" i="5" a="1"/>
  <c r="DC36" i="5" s="1"/>
  <c r="DC50" i="5" a="1"/>
  <c r="DC50" i="5" s="1"/>
  <c r="DC66" i="5" a="1"/>
  <c r="DC66" i="5" s="1"/>
  <c r="DC42" i="5" a="1"/>
  <c r="DC42" i="5" s="1"/>
  <c r="DC81" i="5" a="1"/>
  <c r="DC81" i="5" s="1"/>
  <c r="DC52" i="5"/>
  <c r="DC69" i="5" a="1"/>
  <c r="DC69" i="5" s="1"/>
  <c r="DC72" i="5" a="1"/>
  <c r="DC72" i="5" s="1"/>
  <c r="DC61" i="5" a="1"/>
  <c r="DC61" i="5" s="1"/>
  <c r="DC53" i="5" a="1"/>
  <c r="DC53" i="5" s="1"/>
  <c r="DC78" i="5" a="1"/>
  <c r="DC78" i="5" s="1"/>
  <c r="DC45" i="5" a="1"/>
  <c r="DC45" i="5" s="1"/>
  <c r="DC58" i="5" a="1"/>
  <c r="DC58" i="5" s="1"/>
  <c r="DC39" i="5" a="1"/>
  <c r="DC39" i="5" s="1"/>
  <c r="DC75" i="5" a="1"/>
  <c r="DC75" i="5" s="1"/>
  <c r="BU44" i="5"/>
  <c r="X44" i="5"/>
  <c r="CM44" i="5"/>
  <c r="DC49" i="5"/>
  <c r="BV61" i="5" a="1"/>
  <c r="BV61" i="5" s="1"/>
  <c r="BV75" i="5" a="1"/>
  <c r="BV75" i="5" s="1"/>
  <c r="BV33" i="5"/>
  <c r="CJ38" i="5"/>
  <c r="CD81" i="5" a="1"/>
  <c r="CD81" i="5" s="1"/>
  <c r="CD44" i="5"/>
  <c r="CH81" i="5" a="1"/>
  <c r="CH81" i="5" s="1"/>
  <c r="CH44" i="5"/>
  <c r="CS87" i="5" a="1"/>
  <c r="CS87" i="5" s="1"/>
  <c r="CS44" i="5"/>
  <c r="CO57" i="5"/>
  <c r="CN68" i="5"/>
  <c r="CS49" i="5"/>
  <c r="CY65" i="5"/>
  <c r="BU65" i="5"/>
  <c r="BV35" i="5"/>
  <c r="BZ52" i="5"/>
  <c r="DB57" i="5"/>
  <c r="CH57" i="5"/>
  <c r="CT65" i="5"/>
  <c r="CD65" i="5"/>
  <c r="CZ35" i="5"/>
  <c r="CJ35" i="5"/>
  <c r="BU68" i="5"/>
  <c r="DB49" i="5"/>
  <c r="CH49" i="5"/>
  <c r="CR49" i="5"/>
  <c r="CY66" i="5" a="1"/>
  <c r="CY66" i="5" s="1"/>
  <c r="CY49" i="5"/>
  <c r="CI66" i="5" a="1"/>
  <c r="CI66" i="5" s="1"/>
  <c r="CI49" i="5"/>
  <c r="BV72" i="5" a="1"/>
  <c r="BV72" i="5" s="1"/>
  <c r="BV66" i="5" a="1"/>
  <c r="BV66" i="5" s="1"/>
  <c r="BV39" i="5" a="1"/>
  <c r="BV39" i="5" s="1"/>
  <c r="BV50" i="5" a="1"/>
  <c r="BV50" i="5" s="1"/>
  <c r="BV32" i="5"/>
  <c r="BX57" i="5"/>
  <c r="CF57" i="5"/>
  <c r="CR38" i="5"/>
  <c r="CF38" i="5"/>
  <c r="BZ81" i="5" a="1"/>
  <c r="BZ81" i="5" s="1"/>
  <c r="BZ44" i="5"/>
  <c r="CV44" i="5"/>
  <c r="CO44" i="5"/>
  <c r="CT81" i="5" a="1"/>
  <c r="CT81" i="5" s="1"/>
  <c r="CT44" i="5"/>
  <c r="CT41" i="5"/>
  <c r="CP68" i="5"/>
  <c r="BZ68" i="5"/>
  <c r="BZ38" i="5"/>
  <c r="CP38" i="5"/>
  <c r="CQ38" i="5"/>
  <c r="BU41" i="5"/>
  <c r="CW38" i="5"/>
  <c r="CG38" i="5"/>
  <c r="CP35" i="5"/>
  <c r="CG52" i="5"/>
  <c r="CW57" i="5"/>
  <c r="BW68" i="5"/>
  <c r="CE68" i="5"/>
  <c r="DD68" i="5"/>
  <c r="CY68" i="5"/>
  <c r="CO68" i="5"/>
  <c r="DA84" i="5" a="1"/>
  <c r="DA84" i="5" s="1"/>
  <c r="CK78" i="5" a="1"/>
  <c r="CK78" i="5" s="1"/>
  <c r="BY49" i="5"/>
  <c r="CC49" i="5"/>
  <c r="CG49" i="5"/>
  <c r="CK49" i="5"/>
  <c r="CO49" i="5"/>
  <c r="CK65" i="5"/>
  <c r="CU65" i="5"/>
  <c r="CE65" i="5"/>
  <c r="CJ60" i="5"/>
  <c r="DA60" i="5"/>
  <c r="CW60" i="5"/>
  <c r="CX60" i="5"/>
  <c r="CU35" i="5"/>
  <c r="CY57" i="5"/>
  <c r="BW41" i="5"/>
  <c r="CA41" i="5"/>
  <c r="DA41" i="5"/>
  <c r="CP41" i="5"/>
  <c r="CO41" i="5"/>
  <c r="CQ41" i="5"/>
  <c r="BY33" i="5"/>
  <c r="BY32" i="5"/>
  <c r="BY75" i="5" a="1"/>
  <c r="BY75" i="5" s="1"/>
  <c r="BY61" i="5" a="1"/>
  <c r="BY61" i="5" s="1"/>
  <c r="BY78" i="5" a="1"/>
  <c r="BY78" i="5" s="1"/>
  <c r="BY36" i="5" a="1"/>
  <c r="BY36" i="5" s="1"/>
  <c r="BY81" i="5" a="1"/>
  <c r="BY81" i="5" s="1"/>
  <c r="BY53" i="5" a="1"/>
  <c r="BY53" i="5" s="1"/>
  <c r="BY72" i="5" a="1"/>
  <c r="BY72" i="5" s="1"/>
  <c r="BY87" i="5" a="1"/>
  <c r="BY87" i="5" s="1"/>
  <c r="BY45" i="5" a="1"/>
  <c r="BY45" i="5" s="1"/>
  <c r="BY50" i="5" a="1"/>
  <c r="BY50" i="5" s="1"/>
  <c r="BY42" i="5" a="1"/>
  <c r="BY42" i="5" s="1"/>
  <c r="BY58" i="5" a="1"/>
  <c r="BY58" i="5" s="1"/>
  <c r="BY52" i="5"/>
  <c r="BY39" i="5" a="1"/>
  <c r="BY39" i="5" s="1"/>
  <c r="BY69" i="5" a="1"/>
  <c r="BY69" i="5" s="1"/>
  <c r="BY66" i="5" a="1"/>
  <c r="BY66" i="5" s="1"/>
  <c r="CC32" i="5"/>
  <c r="CC33" i="5"/>
  <c r="CC45" i="5" a="1"/>
  <c r="CC45" i="5" s="1"/>
  <c r="CC52" i="5"/>
  <c r="CC72" i="5" a="1"/>
  <c r="CC72" i="5" s="1"/>
  <c r="CC75" i="5" a="1"/>
  <c r="CC75" i="5" s="1"/>
  <c r="CC58" i="5" a="1"/>
  <c r="CC58" i="5" s="1"/>
  <c r="CC39" i="5" a="1"/>
  <c r="CC39" i="5" s="1"/>
  <c r="CC69" i="5" a="1"/>
  <c r="CC69" i="5" s="1"/>
  <c r="CC84" i="5" a="1"/>
  <c r="CC84" i="5" s="1"/>
  <c r="CC53" i="5" a="1"/>
  <c r="CC53" i="5" s="1"/>
  <c r="CC36" i="5" a="1"/>
  <c r="CC36" i="5" s="1"/>
  <c r="CC50" i="5" a="1"/>
  <c r="CC50" i="5" s="1"/>
  <c r="CC66" i="5" a="1"/>
  <c r="CC66" i="5" s="1"/>
  <c r="CC42" i="5" a="1"/>
  <c r="CC42" i="5" s="1"/>
  <c r="CC81" i="5" a="1"/>
  <c r="CC81" i="5" s="1"/>
  <c r="CC61" i="5" a="1"/>
  <c r="CC61" i="5" s="1"/>
  <c r="CG32" i="5"/>
  <c r="CG33" i="5"/>
  <c r="CG72" i="5" a="1"/>
  <c r="CG72" i="5" s="1"/>
  <c r="CG36" i="5" a="1"/>
  <c r="CG36" i="5" s="1"/>
  <c r="CG50" i="5" a="1"/>
  <c r="CG50" i="5" s="1"/>
  <c r="CG87" i="5" a="1"/>
  <c r="CG87" i="5" s="1"/>
  <c r="CG81" i="5" a="1"/>
  <c r="CG81" i="5" s="1"/>
  <c r="CG53" i="5" a="1"/>
  <c r="CG53" i="5" s="1"/>
  <c r="CG69" i="5" a="1"/>
  <c r="CG69" i="5" s="1"/>
  <c r="CG84" i="5" a="1"/>
  <c r="CG84" i="5" s="1"/>
  <c r="CG42" i="5" a="1"/>
  <c r="CG42" i="5" s="1"/>
  <c r="CG45" i="5" a="1"/>
  <c r="CG45" i="5" s="1"/>
  <c r="CG75" i="5" a="1"/>
  <c r="CG75" i="5" s="1"/>
  <c r="CG58" i="5" a="1"/>
  <c r="CG58" i="5" s="1"/>
  <c r="CG61" i="5" a="1"/>
  <c r="CG61" i="5" s="1"/>
  <c r="CG78" i="5" a="1"/>
  <c r="CG78" i="5" s="1"/>
  <c r="CG39" i="5" a="1"/>
  <c r="CG39" i="5" s="1"/>
  <c r="CG66" i="5" a="1"/>
  <c r="CG66" i="5" s="1"/>
  <c r="CK33" i="5"/>
  <c r="CK32" i="5"/>
  <c r="CK72" i="5" a="1"/>
  <c r="CK72" i="5" s="1"/>
  <c r="CK84" i="5" a="1"/>
  <c r="CK84" i="5" s="1"/>
  <c r="CK36" i="5" a="1"/>
  <c r="CK36" i="5" s="1"/>
  <c r="CK42" i="5" a="1"/>
  <c r="CK42" i="5" s="1"/>
  <c r="CK53" i="5" a="1"/>
  <c r="CK53" i="5" s="1"/>
  <c r="CK66" i="5" a="1"/>
  <c r="CK66" i="5" s="1"/>
  <c r="CK75" i="5" a="1"/>
  <c r="CK75" i="5" s="1"/>
  <c r="CK58" i="5" a="1"/>
  <c r="CK58" i="5" s="1"/>
  <c r="CK81" i="5" a="1"/>
  <c r="CK81" i="5" s="1"/>
  <c r="CK45" i="5" a="1"/>
  <c r="CK45" i="5" s="1"/>
  <c r="CK87" i="5" a="1"/>
  <c r="CK87" i="5" s="1"/>
  <c r="CK61" i="5" a="1"/>
  <c r="CK61" i="5" s="1"/>
  <c r="CK39" i="5" a="1"/>
  <c r="CK39" i="5" s="1"/>
  <c r="CK69" i="5" a="1"/>
  <c r="CK69" i="5" s="1"/>
  <c r="CK50" i="5" a="1"/>
  <c r="CK50" i="5" s="1"/>
  <c r="CK52" i="5"/>
  <c r="CO33" i="5"/>
  <c r="CO32" i="5"/>
  <c r="CO36" i="5" a="1"/>
  <c r="CO36" i="5" s="1"/>
  <c r="CO78" i="5" a="1"/>
  <c r="CO78" i="5" s="1"/>
  <c r="CO45" i="5" a="1"/>
  <c r="CO45" i="5" s="1"/>
  <c r="CO66" i="5" a="1"/>
  <c r="CO66" i="5" s="1"/>
  <c r="CO87" i="5" a="1"/>
  <c r="CO87" i="5" s="1"/>
  <c r="CO61" i="5" a="1"/>
  <c r="CO61" i="5" s="1"/>
  <c r="CO39" i="5" a="1"/>
  <c r="CO39" i="5" s="1"/>
  <c r="CO84" i="5" a="1"/>
  <c r="CO84" i="5" s="1"/>
  <c r="CO50" i="5" a="1"/>
  <c r="CO50" i="5" s="1"/>
  <c r="CO75" i="5" a="1"/>
  <c r="CO75" i="5" s="1"/>
  <c r="CO72" i="5" a="1"/>
  <c r="CO72" i="5" s="1"/>
  <c r="CO42" i="5" a="1"/>
  <c r="CO42" i="5" s="1"/>
  <c r="CO58" i="5" a="1"/>
  <c r="CO58" i="5" s="1"/>
  <c r="CO81" i="5" a="1"/>
  <c r="CO81" i="5" s="1"/>
  <c r="CO52" i="5"/>
  <c r="CO53" i="5" a="1"/>
  <c r="CO53" i="5" s="1"/>
  <c r="CO69" i="5" a="1"/>
  <c r="CO69" i="5" s="1"/>
  <c r="CX33" i="5"/>
  <c r="CX32" i="5"/>
  <c r="CX36" i="5" a="1"/>
  <c r="CX36" i="5" s="1"/>
  <c r="CX50" i="5" a="1"/>
  <c r="CX50" i="5" s="1"/>
  <c r="CX75" i="5" a="1"/>
  <c r="CX75" i="5" s="1"/>
  <c r="CX61" i="5" a="1"/>
  <c r="CX61" i="5" s="1"/>
  <c r="CX42" i="5" a="1"/>
  <c r="CX42" i="5" s="1"/>
  <c r="CX53" i="5" a="1"/>
  <c r="CX53" i="5" s="1"/>
  <c r="CX69" i="5" a="1"/>
  <c r="CX69" i="5" s="1"/>
  <c r="CX72" i="5" a="1"/>
  <c r="CX72" i="5" s="1"/>
  <c r="CX84" i="5" a="1"/>
  <c r="CX84" i="5" s="1"/>
  <c r="CX66" i="5" a="1"/>
  <c r="CX66" i="5" s="1"/>
  <c r="CX39" i="5" a="1"/>
  <c r="CX39" i="5" s="1"/>
  <c r="CX87" i="5" a="1"/>
  <c r="CX87" i="5" s="1"/>
  <c r="CX58" i="5" a="1"/>
  <c r="CX58" i="5" s="1"/>
  <c r="CX78" i="5" a="1"/>
  <c r="CX78" i="5" s="1"/>
  <c r="CX45" i="5" a="1"/>
  <c r="CX45" i="5" s="1"/>
  <c r="DB33" i="5"/>
  <c r="DB32" i="5"/>
  <c r="DB50" i="5" a="1"/>
  <c r="DB50" i="5" s="1"/>
  <c r="DB61" i="5" a="1"/>
  <c r="DB61" i="5" s="1"/>
  <c r="DB69" i="5" a="1"/>
  <c r="DB69" i="5" s="1"/>
  <c r="DB78" i="5" a="1"/>
  <c r="DB78" i="5" s="1"/>
  <c r="DB72" i="5" a="1"/>
  <c r="DB72" i="5" s="1"/>
  <c r="DB36" i="5" a="1"/>
  <c r="DB36" i="5" s="1"/>
  <c r="DB87" i="5" a="1"/>
  <c r="DB87" i="5" s="1"/>
  <c r="DB42" i="5" a="1"/>
  <c r="DB42" i="5" s="1"/>
  <c r="DB58" i="5" a="1"/>
  <c r="DB58" i="5" s="1"/>
  <c r="DB39" i="5" a="1"/>
  <c r="DB39" i="5" s="1"/>
  <c r="DB45" i="5" a="1"/>
  <c r="DB45" i="5" s="1"/>
  <c r="DB84" i="5" a="1"/>
  <c r="DB84" i="5" s="1"/>
  <c r="DB53" i="5" a="1"/>
  <c r="DB53" i="5" s="1"/>
  <c r="DB66" i="5" a="1"/>
  <c r="DB66" i="5" s="1"/>
  <c r="DB75" i="5" a="1"/>
  <c r="DB75" i="5" s="1"/>
  <c r="CV81" i="5" a="1"/>
  <c r="CV81" i="5" s="1"/>
  <c r="CV33" i="5"/>
  <c r="CV32" i="5"/>
  <c r="CV84" i="5" a="1"/>
  <c r="CV84" i="5" s="1"/>
  <c r="CV50" i="5" a="1"/>
  <c r="CV50" i="5" s="1"/>
  <c r="CV87" i="5" a="1"/>
  <c r="CV87" i="5" s="1"/>
  <c r="CV61" i="5" a="1"/>
  <c r="CV61" i="5" s="1"/>
  <c r="CV45" i="5" a="1"/>
  <c r="CV45" i="5" s="1"/>
  <c r="CV36" i="5" a="1"/>
  <c r="CV36" i="5" s="1"/>
  <c r="CV75" i="5" a="1"/>
  <c r="CV75" i="5" s="1"/>
  <c r="CV42" i="5" a="1"/>
  <c r="CV42" i="5" s="1"/>
  <c r="CV78" i="5" a="1"/>
  <c r="CV78" i="5" s="1"/>
  <c r="CV52" i="5"/>
  <c r="CV39" i="5" a="1"/>
  <c r="CV39" i="5" s="1"/>
  <c r="CV53" i="5" a="1"/>
  <c r="CV53" i="5" s="1"/>
  <c r="CV69" i="5" a="1"/>
  <c r="CV69" i="5" s="1"/>
  <c r="CV66" i="5" a="1"/>
  <c r="CV66" i="5" s="1"/>
  <c r="CV58" i="5" a="1"/>
  <c r="CV58" i="5" s="1"/>
  <c r="CV72" i="5" a="1"/>
  <c r="CV72" i="5" s="1"/>
  <c r="CU52" i="5"/>
  <c r="CU32" i="5"/>
  <c r="CU33" i="5"/>
  <c r="CU78" i="5" a="1"/>
  <c r="CU78" i="5" s="1"/>
  <c r="CU87" i="5" a="1"/>
  <c r="CU87" i="5" s="1"/>
  <c r="CU58" i="5" a="1"/>
  <c r="CU58" i="5" s="1"/>
  <c r="CU81" i="5" a="1"/>
  <c r="CU81" i="5" s="1"/>
  <c r="CU39" i="5" a="1"/>
  <c r="CU39" i="5" s="1"/>
  <c r="CU72" i="5" a="1"/>
  <c r="CU72" i="5" s="1"/>
  <c r="CU36" i="5" a="1"/>
  <c r="CU36" i="5" s="1"/>
  <c r="CU66" i="5" a="1"/>
  <c r="CU66" i="5" s="1"/>
  <c r="CU45" i="5" a="1"/>
  <c r="CU45" i="5" s="1"/>
  <c r="CU50" i="5" a="1"/>
  <c r="CU50" i="5" s="1"/>
  <c r="CU75" i="5" a="1"/>
  <c r="CU75" i="5" s="1"/>
  <c r="CU42" i="5" a="1"/>
  <c r="CU42" i="5" s="1"/>
  <c r="CU61" i="5" a="1"/>
  <c r="CU61" i="5" s="1"/>
  <c r="CU53" i="5" a="1"/>
  <c r="CU53" i="5" s="1"/>
  <c r="CU69" i="5" a="1"/>
  <c r="CU69" i="5" s="1"/>
  <c r="CN41" i="5"/>
  <c r="CW41" i="5"/>
  <c r="CJ44" i="5"/>
  <c r="CN44" i="5"/>
  <c r="DD44" i="5"/>
  <c r="CF44" i="5"/>
  <c r="X38" i="5"/>
  <c r="CV65" i="5"/>
  <c r="DC44" i="5"/>
  <c r="CM84" i="5" a="1"/>
  <c r="CM84" i="5" s="1"/>
  <c r="CM49" i="5"/>
  <c r="BV58" i="5" a="1"/>
  <c r="BV58" i="5" s="1"/>
  <c r="CB57" i="5"/>
  <c r="CW44" i="5"/>
  <c r="CX81" i="5" a="1"/>
  <c r="CX81" i="5" s="1"/>
  <c r="CX44" i="5"/>
  <c r="DB38" i="5"/>
  <c r="DA38" i="5"/>
  <c r="CS57" i="5"/>
  <c r="BY65" i="5"/>
  <c r="CW65" i="5"/>
  <c r="BW35" i="5"/>
  <c r="BX50" i="5" a="1"/>
  <c r="BX50" i="5" s="1"/>
  <c r="BX33" i="5"/>
  <c r="BX32" i="5"/>
  <c r="BX45" i="5" a="1"/>
  <c r="BX45" i="5" s="1"/>
  <c r="BX84" i="5" a="1"/>
  <c r="BX84" i="5" s="1"/>
  <c r="BX87" i="5" a="1"/>
  <c r="BX87" i="5" s="1"/>
  <c r="BX39" i="5" a="1"/>
  <c r="BX39" i="5" s="1"/>
  <c r="BX53" i="5" a="1"/>
  <c r="BX53" i="5" s="1"/>
  <c r="BX78" i="5" a="1"/>
  <c r="BX78" i="5" s="1"/>
  <c r="BX72" i="5" a="1"/>
  <c r="BX72" i="5" s="1"/>
  <c r="BX66" i="5" a="1"/>
  <c r="BX66" i="5" s="1"/>
  <c r="BX58" i="5" a="1"/>
  <c r="BX58" i="5" s="1"/>
  <c r="BX36" i="5" a="1"/>
  <c r="BX36" i="5" s="1"/>
  <c r="BX75" i="5" a="1"/>
  <c r="BX75" i="5" s="1"/>
  <c r="BX81" i="5" a="1"/>
  <c r="BX81" i="5" s="1"/>
  <c r="BX61" i="5" a="1"/>
  <c r="BX61" i="5" s="1"/>
  <c r="BX52" i="5"/>
  <c r="BX69" i="5" a="1"/>
  <c r="BX69" i="5" s="1"/>
  <c r="BX42" i="5" a="1"/>
  <c r="BX42" i="5" s="1"/>
  <c r="BZ32" i="5"/>
  <c r="BZ33" i="5"/>
  <c r="BZ72" i="5" a="1"/>
  <c r="BZ72" i="5" s="1"/>
  <c r="BZ50" i="5" a="1"/>
  <c r="BZ50" i="5" s="1"/>
  <c r="BZ75" i="5" a="1"/>
  <c r="BZ75" i="5" s="1"/>
  <c r="BZ58" i="5" a="1"/>
  <c r="BZ58" i="5" s="1"/>
  <c r="BZ78" i="5" a="1"/>
  <c r="BZ78" i="5" s="1"/>
  <c r="BZ36" i="5" a="1"/>
  <c r="BZ36" i="5" s="1"/>
  <c r="BZ42" i="5" a="1"/>
  <c r="BZ42" i="5" s="1"/>
  <c r="BZ45" i="5" a="1"/>
  <c r="BZ45" i="5" s="1"/>
  <c r="BZ84" i="5" a="1"/>
  <c r="BZ84" i="5" s="1"/>
  <c r="BZ39" i="5" a="1"/>
  <c r="BZ39" i="5" s="1"/>
  <c r="BZ53" i="5" a="1"/>
  <c r="BZ53" i="5" s="1"/>
  <c r="BZ66" i="5" a="1"/>
  <c r="BZ66" i="5" s="1"/>
  <c r="BZ87" i="5" a="1"/>
  <c r="BZ87" i="5" s="1"/>
  <c r="BZ61" i="5" a="1"/>
  <c r="BZ61" i="5" s="1"/>
  <c r="BZ69" i="5" a="1"/>
  <c r="BZ69" i="5" s="1"/>
  <c r="CF81" i="5" a="1"/>
  <c r="CF81" i="5" s="1"/>
  <c r="CF33" i="5"/>
  <c r="CF32" i="5"/>
  <c r="CF45" i="5" a="1"/>
  <c r="CF45" i="5" s="1"/>
  <c r="CF50" i="5" a="1"/>
  <c r="CF50" i="5" s="1"/>
  <c r="CF75" i="5" a="1"/>
  <c r="CF75" i="5" s="1"/>
  <c r="CF42" i="5" a="1"/>
  <c r="CF42" i="5" s="1"/>
  <c r="CF39" i="5" a="1"/>
  <c r="CF39" i="5" s="1"/>
  <c r="CF58" i="5" a="1"/>
  <c r="CF58" i="5" s="1"/>
  <c r="CF52" i="5"/>
  <c r="CF69" i="5" a="1"/>
  <c r="CF69" i="5" s="1"/>
  <c r="CF53" i="5" a="1"/>
  <c r="CF53" i="5" s="1"/>
  <c r="CF78" i="5" a="1"/>
  <c r="CF78" i="5" s="1"/>
  <c r="CF72" i="5" a="1"/>
  <c r="CF72" i="5" s="1"/>
  <c r="CF84" i="5" a="1"/>
  <c r="CF84" i="5" s="1"/>
  <c r="CF36" i="5" a="1"/>
  <c r="CF36" i="5" s="1"/>
  <c r="CF66" i="5" a="1"/>
  <c r="CF66" i="5" s="1"/>
  <c r="CF87" i="5" a="1"/>
  <c r="CF87" i="5" s="1"/>
  <c r="CF61" i="5" a="1"/>
  <c r="CF61" i="5" s="1"/>
  <c r="CJ75" i="5" a="1"/>
  <c r="CJ75" i="5" s="1"/>
  <c r="CJ33" i="5"/>
  <c r="CJ32" i="5"/>
  <c r="CJ45" i="5" a="1"/>
  <c r="CJ45" i="5" s="1"/>
  <c r="CJ50" i="5" a="1"/>
  <c r="CJ50" i="5" s="1"/>
  <c r="CJ61" i="5" a="1"/>
  <c r="CJ61" i="5" s="1"/>
  <c r="CJ78" i="5" a="1"/>
  <c r="CJ78" i="5" s="1"/>
  <c r="CJ66" i="5" a="1"/>
  <c r="CJ66" i="5" s="1"/>
  <c r="CJ72" i="5" a="1"/>
  <c r="CJ72" i="5" s="1"/>
  <c r="CJ84" i="5" a="1"/>
  <c r="CJ84" i="5" s="1"/>
  <c r="CJ53" i="5" a="1"/>
  <c r="CJ53" i="5" s="1"/>
  <c r="CJ36" i="5" a="1"/>
  <c r="CJ36" i="5" s="1"/>
  <c r="CJ42" i="5" a="1"/>
  <c r="CJ42" i="5" s="1"/>
  <c r="CJ81" i="5" a="1"/>
  <c r="CJ81" i="5" s="1"/>
  <c r="CJ39" i="5" a="1"/>
  <c r="CJ39" i="5" s="1"/>
  <c r="CJ52" i="5"/>
  <c r="CJ69" i="5" a="1"/>
  <c r="CJ69" i="5" s="1"/>
  <c r="CJ87" i="5" a="1"/>
  <c r="CJ87" i="5" s="1"/>
  <c r="CJ58" i="5" a="1"/>
  <c r="CJ58" i="5" s="1"/>
  <c r="CN58" i="5" a="1"/>
  <c r="CN58" i="5" s="1"/>
  <c r="CN32" i="5"/>
  <c r="CN33" i="5"/>
  <c r="CN42" i="5" a="1"/>
  <c r="CN42" i="5" s="1"/>
  <c r="CN69" i="5" a="1"/>
  <c r="CN69" i="5" s="1"/>
  <c r="CN36" i="5" a="1"/>
  <c r="CN36" i="5" s="1"/>
  <c r="CN75" i="5" a="1"/>
  <c r="CN75" i="5" s="1"/>
  <c r="CN45" i="5" a="1"/>
  <c r="CN45" i="5" s="1"/>
  <c r="CN66" i="5" a="1"/>
  <c r="CN66" i="5" s="1"/>
  <c r="CN87" i="5" a="1"/>
  <c r="CN87" i="5" s="1"/>
  <c r="CN81" i="5" a="1"/>
  <c r="CN81" i="5" s="1"/>
  <c r="CN61" i="5" a="1"/>
  <c r="CN61" i="5" s="1"/>
  <c r="CN72" i="5" a="1"/>
  <c r="CN72" i="5" s="1"/>
  <c r="CN84" i="5" a="1"/>
  <c r="CN84" i="5" s="1"/>
  <c r="CN50" i="5" a="1"/>
  <c r="CN50" i="5" s="1"/>
  <c r="CN53" i="5" a="1"/>
  <c r="CN53" i="5" s="1"/>
  <c r="CN78" i="5" a="1"/>
  <c r="CN78" i="5" s="1"/>
  <c r="CN39" i="5" a="1"/>
  <c r="CN39" i="5" s="1"/>
  <c r="CN52" i="5"/>
  <c r="CS32" i="5"/>
  <c r="CS33" i="5"/>
  <c r="CS58" i="5" a="1"/>
  <c r="CS58" i="5" s="1"/>
  <c r="CS81" i="5" a="1"/>
  <c r="CS81" i="5" s="1"/>
  <c r="CS39" i="5" a="1"/>
  <c r="CS39" i="5" s="1"/>
  <c r="CS53" i="5" a="1"/>
  <c r="CS53" i="5" s="1"/>
  <c r="CS72" i="5" a="1"/>
  <c r="CS72" i="5" s="1"/>
  <c r="CS84" i="5" a="1"/>
  <c r="CS84" i="5" s="1"/>
  <c r="CS52" i="5"/>
  <c r="CS69" i="5" a="1"/>
  <c r="CS69" i="5" s="1"/>
  <c r="CS78" i="5" a="1"/>
  <c r="CS78" i="5" s="1"/>
  <c r="CS45" i="5" a="1"/>
  <c r="CS45" i="5" s="1"/>
  <c r="CS61" i="5" a="1"/>
  <c r="CS61" i="5" s="1"/>
  <c r="CS36" i="5" a="1"/>
  <c r="CS36" i="5" s="1"/>
  <c r="CS50" i="5" a="1"/>
  <c r="CS50" i="5" s="1"/>
  <c r="CS66" i="5" a="1"/>
  <c r="CS66" i="5" s="1"/>
  <c r="CS75" i="5" a="1"/>
  <c r="CS75" i="5" s="1"/>
  <c r="CZ72" i="5" a="1"/>
  <c r="CZ72" i="5" s="1"/>
  <c r="CZ33" i="5"/>
  <c r="CZ32" i="5"/>
  <c r="CZ36" i="5" a="1"/>
  <c r="CZ36" i="5" s="1"/>
  <c r="CZ66" i="5" a="1"/>
  <c r="CZ66" i="5" s="1"/>
  <c r="CZ87" i="5" a="1"/>
  <c r="CZ87" i="5" s="1"/>
  <c r="CZ58" i="5" a="1"/>
  <c r="CZ58" i="5" s="1"/>
  <c r="CZ39" i="5" a="1"/>
  <c r="CZ39" i="5" s="1"/>
  <c r="CZ78" i="5" a="1"/>
  <c r="CZ78" i="5" s="1"/>
  <c r="CZ45" i="5" a="1"/>
  <c r="CZ45" i="5" s="1"/>
  <c r="CZ84" i="5" a="1"/>
  <c r="CZ84" i="5" s="1"/>
  <c r="CZ61" i="5" a="1"/>
  <c r="CZ61" i="5" s="1"/>
  <c r="CZ52" i="5"/>
  <c r="CZ81" i="5" a="1"/>
  <c r="CZ81" i="5" s="1"/>
  <c r="CZ50" i="5" a="1"/>
  <c r="CZ50" i="5" s="1"/>
  <c r="CZ75" i="5" a="1"/>
  <c r="CZ75" i="5" s="1"/>
  <c r="CZ42" i="5" a="1"/>
  <c r="CZ42" i="5" s="1"/>
  <c r="CZ69" i="5" a="1"/>
  <c r="CZ69" i="5" s="1"/>
  <c r="CZ53" i="5" a="1"/>
  <c r="CZ53" i="5" s="1"/>
  <c r="CY69" i="5" a="1"/>
  <c r="CY69" i="5" s="1"/>
  <c r="CY32" i="5"/>
  <c r="CY33" i="5"/>
  <c r="CY81" i="5" a="1"/>
  <c r="CY81" i="5" s="1"/>
  <c r="CY39" i="5" a="1"/>
  <c r="CY39" i="5" s="1"/>
  <c r="CY53" i="5" a="1"/>
  <c r="CY53" i="5" s="1"/>
  <c r="CY72" i="5" a="1"/>
  <c r="CY72" i="5" s="1"/>
  <c r="CY84" i="5" a="1"/>
  <c r="CY84" i="5" s="1"/>
  <c r="CY36" i="5" a="1"/>
  <c r="CY36" i="5" s="1"/>
  <c r="CY50" i="5" a="1"/>
  <c r="CY50" i="5" s="1"/>
  <c r="CY58" i="5" a="1"/>
  <c r="CY58" i="5" s="1"/>
  <c r="CY52" i="5"/>
  <c r="CY75" i="5" a="1"/>
  <c r="CY75" i="5" s="1"/>
  <c r="CY87" i="5" a="1"/>
  <c r="CY87" i="5" s="1"/>
  <c r="CY42" i="5" a="1"/>
  <c r="CY42" i="5" s="1"/>
  <c r="CY61" i="5" a="1"/>
  <c r="CY61" i="5" s="1"/>
  <c r="CY45" i="5" a="1"/>
  <c r="CY45" i="5" s="1"/>
  <c r="CY78" i="5" a="1"/>
  <c r="CY78" i="5" s="1"/>
  <c r="BX60" i="5"/>
  <c r="CR60" i="5"/>
  <c r="BY41" i="5"/>
  <c r="X65" i="5"/>
  <c r="X35" i="5"/>
  <c r="DB52" i="5"/>
  <c r="CT57" i="5"/>
  <c r="CL57" i="5"/>
  <c r="CH65" i="5"/>
  <c r="BY35" i="5"/>
  <c r="CW35" i="5"/>
  <c r="CG35" i="5"/>
  <c r="CV35" i="5"/>
  <c r="CZ65" i="5"/>
  <c r="BV38" i="5"/>
  <c r="BW44" i="5"/>
  <c r="CA44" i="5"/>
  <c r="CE44" i="5"/>
  <c r="CI44" i="5"/>
  <c r="CU44" i="5"/>
  <c r="CI60" i="5"/>
  <c r="CM60" i="5"/>
  <c r="CQ60" i="5"/>
  <c r="CU60" i="5"/>
  <c r="CY60" i="5"/>
  <c r="CB49" i="5"/>
  <c r="CD49" i="5"/>
  <c r="CT49" i="5"/>
  <c r="CL49" i="5"/>
  <c r="DD49" i="5"/>
  <c r="CN49" i="5"/>
  <c r="CU84" i="5" a="1"/>
  <c r="CU84" i="5" s="1"/>
  <c r="CU49" i="5"/>
  <c r="BV78" i="5" a="1"/>
  <c r="BV78" i="5" s="1"/>
  <c r="BV42" i="5" a="1"/>
  <c r="BV42" i="5" s="1"/>
  <c r="BV45" i="5" a="1"/>
  <c r="BV45" i="5" s="1"/>
  <c r="BV81" i="5" a="1"/>
  <c r="BV81" i="5" s="1"/>
  <c r="BV44" i="5"/>
  <c r="CZ57" i="5"/>
  <c r="CJ57" i="5"/>
  <c r="DD38" i="5"/>
  <c r="CP81" i="5" a="1"/>
  <c r="CP81" i="5" s="1"/>
  <c r="CP44" i="5"/>
  <c r="CL68" i="5"/>
  <c r="BW38" i="5"/>
  <c r="CL38" i="5"/>
  <c r="CT38" i="5"/>
  <c r="CH38" i="5"/>
  <c r="DC38" i="5"/>
  <c r="CM38" i="5"/>
  <c r="BV68" i="5"/>
  <c r="BY38" i="5"/>
  <c r="CS38" i="5"/>
  <c r="CC38" i="5"/>
  <c r="DB35" i="5"/>
  <c r="CL35" i="5"/>
  <c r="CC57" i="5"/>
  <c r="CG57" i="5"/>
  <c r="CK57" i="5"/>
  <c r="DA57" i="5"/>
  <c r="BX68" i="5"/>
  <c r="CB68" i="5"/>
  <c r="CF68" i="5"/>
  <c r="DC68" i="5"/>
  <c r="CQ68" i="5"/>
  <c r="CJ68" i="5"/>
  <c r="DA68" i="5"/>
  <c r="CK68" i="5"/>
  <c r="BY84" i="5" a="1"/>
  <c r="BY84" i="5" s="1"/>
  <c r="CC78" i="5" a="1"/>
  <c r="CC78" i="5" s="1"/>
  <c r="DA49" i="5"/>
  <c r="BW65" i="5"/>
  <c r="CG65" i="5"/>
  <c r="CC65" i="5"/>
  <c r="CQ65" i="5"/>
  <c r="DB65" i="5"/>
  <c r="CL65" i="5"/>
  <c r="CC60" i="5"/>
  <c r="CG60" i="5"/>
  <c r="CK60" i="5"/>
  <c r="CS60" i="5"/>
  <c r="CO60" i="5"/>
  <c r="CT60" i="5"/>
  <c r="BV41" i="5"/>
  <c r="BU60" i="5"/>
  <c r="CY35" i="5"/>
  <c r="CM35" i="5"/>
  <c r="BW57" i="5"/>
  <c r="CE57" i="5"/>
  <c r="CI57" i="5"/>
  <c r="CQ57" i="5"/>
  <c r="DC57" i="5"/>
  <c r="BX41" i="5"/>
  <c r="BZ41" i="5"/>
  <c r="CH41" i="5"/>
  <c r="CS41" i="5"/>
  <c r="DC41" i="5"/>
  <c r="CM41" i="5"/>
  <c r="CB72" i="5" a="1"/>
  <c r="CB72" i="5" s="1"/>
  <c r="CB32" i="5"/>
  <c r="CB33" i="5"/>
  <c r="CB42" i="5" a="1"/>
  <c r="CB42" i="5" s="1"/>
  <c r="CB39" i="5" a="1"/>
  <c r="CB39" i="5" s="1"/>
  <c r="CB69" i="5" a="1"/>
  <c r="CB69" i="5" s="1"/>
  <c r="CB45" i="5" a="1"/>
  <c r="CB45" i="5" s="1"/>
  <c r="CB50" i="5" a="1"/>
  <c r="CB50" i="5" s="1"/>
  <c r="CB53" i="5" a="1"/>
  <c r="CB53" i="5" s="1"/>
  <c r="CB84" i="5" a="1"/>
  <c r="CB84" i="5" s="1"/>
  <c r="CB36" i="5" a="1"/>
  <c r="CB36" i="5" s="1"/>
  <c r="CB66" i="5" a="1"/>
  <c r="CB66" i="5" s="1"/>
  <c r="CB87" i="5" a="1"/>
  <c r="CB87" i="5" s="1"/>
  <c r="CB58" i="5" a="1"/>
  <c r="CB58" i="5" s="1"/>
  <c r="CB81" i="5" a="1"/>
  <c r="CB81" i="5" s="1"/>
  <c r="CB78" i="5" a="1"/>
  <c r="CB78" i="5" s="1"/>
  <c r="CB75" i="5" a="1"/>
  <c r="CB75" i="5" s="1"/>
  <c r="CB61" i="5" a="1"/>
  <c r="CB61" i="5" s="1"/>
  <c r="CD32" i="5"/>
  <c r="CD33" i="5"/>
  <c r="CD72" i="5" a="1"/>
  <c r="CD72" i="5" s="1"/>
  <c r="CD45" i="5" a="1"/>
  <c r="CD45" i="5" s="1"/>
  <c r="CD84" i="5" a="1"/>
  <c r="CD84" i="5" s="1"/>
  <c r="CD50" i="5" a="1"/>
  <c r="CD50" i="5" s="1"/>
  <c r="CD39" i="5" a="1"/>
  <c r="CD39" i="5" s="1"/>
  <c r="CD75" i="5" a="1"/>
  <c r="CD75" i="5" s="1"/>
  <c r="CD58" i="5" a="1"/>
  <c r="CD58" i="5" s="1"/>
  <c r="CD69" i="5" a="1"/>
  <c r="CD69" i="5" s="1"/>
  <c r="CD36" i="5" a="1"/>
  <c r="CD36" i="5" s="1"/>
  <c r="CD66" i="5" a="1"/>
  <c r="CD66" i="5" s="1"/>
  <c r="CD87" i="5" a="1"/>
  <c r="CD87" i="5" s="1"/>
  <c r="CD42" i="5" a="1"/>
  <c r="CD42" i="5" s="1"/>
  <c r="CD61" i="5" a="1"/>
  <c r="CD61" i="5" s="1"/>
  <c r="CD53" i="5" a="1"/>
  <c r="CD53" i="5" s="1"/>
  <c r="CD78" i="5" a="1"/>
  <c r="CD78" i="5" s="1"/>
  <c r="CH33" i="5"/>
  <c r="CH32" i="5"/>
  <c r="CH45" i="5" a="1"/>
  <c r="CH45" i="5" s="1"/>
  <c r="CH75" i="5" a="1"/>
  <c r="CH75" i="5" s="1"/>
  <c r="CH53" i="5" a="1"/>
  <c r="CH53" i="5" s="1"/>
  <c r="CH36" i="5" a="1"/>
  <c r="CH36" i="5" s="1"/>
  <c r="CH39" i="5" a="1"/>
  <c r="CH39" i="5" s="1"/>
  <c r="CH42" i="5" a="1"/>
  <c r="CH42" i="5" s="1"/>
  <c r="CH72" i="5" a="1"/>
  <c r="CH72" i="5" s="1"/>
  <c r="CH50" i="5" a="1"/>
  <c r="CH50" i="5" s="1"/>
  <c r="CH66" i="5" a="1"/>
  <c r="CH66" i="5" s="1"/>
  <c r="CH78" i="5" a="1"/>
  <c r="CH78" i="5" s="1"/>
  <c r="CH58" i="5" a="1"/>
  <c r="CH58" i="5" s="1"/>
  <c r="CH84" i="5" a="1"/>
  <c r="CH84" i="5" s="1"/>
  <c r="CH87" i="5" a="1"/>
  <c r="CH87" i="5" s="1"/>
  <c r="CH61" i="5" a="1"/>
  <c r="CH61" i="5" s="1"/>
  <c r="CH69" i="5" a="1"/>
  <c r="CH69" i="5" s="1"/>
  <c r="CL32" i="5"/>
  <c r="CL33" i="5"/>
  <c r="CL75" i="5" a="1"/>
  <c r="CL75" i="5" s="1"/>
  <c r="CL87" i="5" a="1"/>
  <c r="CL87" i="5" s="1"/>
  <c r="CL53" i="5" a="1"/>
  <c r="CL53" i="5" s="1"/>
  <c r="CL78" i="5" a="1"/>
  <c r="CL78" i="5" s="1"/>
  <c r="CL45" i="5" a="1"/>
  <c r="CL45" i="5" s="1"/>
  <c r="CL84" i="5" a="1"/>
  <c r="CL84" i="5" s="1"/>
  <c r="CL72" i="5" a="1"/>
  <c r="CL72" i="5" s="1"/>
  <c r="CL36" i="5" a="1"/>
  <c r="CL36" i="5" s="1"/>
  <c r="CL50" i="5" a="1"/>
  <c r="CL50" i="5" s="1"/>
  <c r="CL42" i="5" a="1"/>
  <c r="CL42" i="5" s="1"/>
  <c r="CL58" i="5" a="1"/>
  <c r="CL58" i="5" s="1"/>
  <c r="CL61" i="5" a="1"/>
  <c r="CL61" i="5" s="1"/>
  <c r="CL39" i="5" a="1"/>
  <c r="CL39" i="5" s="1"/>
  <c r="CL69" i="5" a="1"/>
  <c r="CL69" i="5" s="1"/>
  <c r="CL66" i="5" a="1"/>
  <c r="CL66" i="5" s="1"/>
  <c r="CP33" i="5"/>
  <c r="CP32" i="5"/>
  <c r="CP72" i="5" a="1"/>
  <c r="CP72" i="5" s="1"/>
  <c r="CP66" i="5" a="1"/>
  <c r="CP66" i="5" s="1"/>
  <c r="CP87" i="5" a="1"/>
  <c r="CP87" i="5" s="1"/>
  <c r="CP61" i="5" a="1"/>
  <c r="CP61" i="5" s="1"/>
  <c r="CP53" i="5" a="1"/>
  <c r="CP53" i="5" s="1"/>
  <c r="CP78" i="5" a="1"/>
  <c r="CP78" i="5" s="1"/>
  <c r="CP42" i="5" a="1"/>
  <c r="CP42" i="5" s="1"/>
  <c r="CP39" i="5" a="1"/>
  <c r="CP39" i="5" s="1"/>
  <c r="CP45" i="5" a="1"/>
  <c r="CP45" i="5" s="1"/>
  <c r="CP50" i="5" a="1"/>
  <c r="CP50" i="5" s="1"/>
  <c r="CP36" i="5" a="1"/>
  <c r="CP36" i="5" s="1"/>
  <c r="CP75" i="5" a="1"/>
  <c r="CP75" i="5" s="1"/>
  <c r="CP84" i="5" a="1"/>
  <c r="CP84" i="5" s="1"/>
  <c r="CP58" i="5" a="1"/>
  <c r="CP58" i="5" s="1"/>
  <c r="CP69" i="5" a="1"/>
  <c r="CP69" i="5" s="1"/>
  <c r="CW33" i="5"/>
  <c r="CW32" i="5"/>
  <c r="CW72" i="5" a="1"/>
  <c r="CW72" i="5" s="1"/>
  <c r="CW36" i="5" a="1"/>
  <c r="CW36" i="5" s="1"/>
  <c r="CW42" i="5" a="1"/>
  <c r="CW42" i="5" s="1"/>
  <c r="CW52" i="5"/>
  <c r="CW61" i="5" a="1"/>
  <c r="CW61" i="5" s="1"/>
  <c r="CW69" i="5" a="1"/>
  <c r="CW69" i="5" s="1"/>
  <c r="CW66" i="5" a="1"/>
  <c r="CW66" i="5" s="1"/>
  <c r="CW84" i="5" a="1"/>
  <c r="CW84" i="5" s="1"/>
  <c r="CW50" i="5" a="1"/>
  <c r="CW50" i="5" s="1"/>
  <c r="CW75" i="5" a="1"/>
  <c r="CW75" i="5" s="1"/>
  <c r="CW78" i="5" a="1"/>
  <c r="CW78" i="5" s="1"/>
  <c r="CW87" i="5" a="1"/>
  <c r="CW87" i="5" s="1"/>
  <c r="CW45" i="5" a="1"/>
  <c r="CW45" i="5" s="1"/>
  <c r="CW58" i="5" a="1"/>
  <c r="CW58" i="5" s="1"/>
  <c r="CW81" i="5" a="1"/>
  <c r="CW81" i="5" s="1"/>
  <c r="CW39" i="5" a="1"/>
  <c r="CW39" i="5" s="1"/>
  <c r="CW53" i="5" a="1"/>
  <c r="CW53" i="5" s="1"/>
  <c r="CT33" i="5"/>
  <c r="CT32" i="5"/>
  <c r="CT45" i="5" a="1"/>
  <c r="CT45" i="5" s="1"/>
  <c r="CT84" i="5" a="1"/>
  <c r="CT84" i="5" s="1"/>
  <c r="CT50" i="5" a="1"/>
  <c r="CT50" i="5" s="1"/>
  <c r="CT42" i="5" a="1"/>
  <c r="CT42" i="5" s="1"/>
  <c r="CT69" i="5" a="1"/>
  <c r="CT69" i="5" s="1"/>
  <c r="CT72" i="5" a="1"/>
  <c r="CT72" i="5" s="1"/>
  <c r="CT58" i="5" a="1"/>
  <c r="CT58" i="5" s="1"/>
  <c r="CT78" i="5" a="1"/>
  <c r="CT78" i="5" s="1"/>
  <c r="CT36" i="5" a="1"/>
  <c r="CT36" i="5" s="1"/>
  <c r="CT75" i="5" a="1"/>
  <c r="CT75" i="5" s="1"/>
  <c r="CT61" i="5" a="1"/>
  <c r="CT61" i="5" s="1"/>
  <c r="CT66" i="5" a="1"/>
  <c r="CT66" i="5" s="1"/>
  <c r="CT39" i="5" a="1"/>
  <c r="CT39" i="5" s="1"/>
  <c r="CT53" i="5" a="1"/>
  <c r="CT53" i="5" s="1"/>
  <c r="CT87" i="5" a="1"/>
  <c r="CT87" i="5" s="1"/>
  <c r="CR72" i="5" a="1"/>
  <c r="CR72" i="5" s="1"/>
  <c r="CR32" i="5"/>
  <c r="CR33" i="5"/>
  <c r="CR36" i="5" a="1"/>
  <c r="CR36" i="5" s="1"/>
  <c r="CR75" i="5" a="1"/>
  <c r="CR75" i="5" s="1"/>
  <c r="CR81" i="5" a="1"/>
  <c r="CR81" i="5" s="1"/>
  <c r="CR39" i="5" a="1"/>
  <c r="CR39" i="5" s="1"/>
  <c r="CR69" i="5" a="1"/>
  <c r="CR69" i="5" s="1"/>
  <c r="CR84" i="5" a="1"/>
  <c r="CR84" i="5" s="1"/>
  <c r="CR66" i="5" a="1"/>
  <c r="CR66" i="5" s="1"/>
  <c r="CR52" i="5"/>
  <c r="CR45" i="5" a="1"/>
  <c r="CR45" i="5" s="1"/>
  <c r="CR42" i="5" a="1"/>
  <c r="CR42" i="5" s="1"/>
  <c r="CR50" i="5" a="1"/>
  <c r="CR50" i="5" s="1"/>
  <c r="CR87" i="5" a="1"/>
  <c r="CR87" i="5" s="1"/>
  <c r="CR58" i="5" a="1"/>
  <c r="CR58" i="5" s="1"/>
  <c r="CR61" i="5" a="1"/>
  <c r="CR61" i="5" s="1"/>
  <c r="CR78" i="5" a="1"/>
  <c r="CR78" i="5" s="1"/>
  <c r="CR53" i="5" a="1"/>
  <c r="CR53" i="5" s="1"/>
  <c r="CB60" i="5"/>
  <c r="DD41" i="5"/>
  <c r="CV41" i="5"/>
  <c r="CZ41" i="5"/>
  <c r="BX44" i="5"/>
  <c r="CB44" i="5"/>
  <c r="CR44" i="5"/>
  <c r="BT60" i="5"/>
  <c r="BT38" i="5"/>
  <c r="BT35" i="5"/>
  <c r="BT49" i="5"/>
  <c r="BT68" i="5"/>
  <c r="BT41" i="5"/>
  <c r="BT65" i="5"/>
  <c r="BS65" i="5"/>
  <c r="BT33" i="5"/>
  <c r="BT32" i="5"/>
  <c r="BT61" i="5" a="1"/>
  <c r="BT61" i="5" s="1"/>
  <c r="BT87" i="5" a="1"/>
  <c r="BT87" i="5" s="1"/>
  <c r="BT39" i="5" a="1"/>
  <c r="BT39" i="5" s="1"/>
  <c r="BT42" i="5" a="1"/>
  <c r="BT42" i="5" s="1"/>
  <c r="BT84" i="5" a="1"/>
  <c r="BT84" i="5" s="1"/>
  <c r="BT66" i="5" a="1"/>
  <c r="BT66" i="5" s="1"/>
  <c r="BT75" i="5" a="1"/>
  <c r="BT75" i="5" s="1"/>
  <c r="BT58" i="5" a="1"/>
  <c r="BT58" i="5" s="1"/>
  <c r="BT52" i="5"/>
  <c r="BT53" i="5" a="1"/>
  <c r="BT53" i="5" s="1"/>
  <c r="BT69" i="5" a="1"/>
  <c r="BT69" i="5" s="1"/>
  <c r="BT78" i="5" a="1"/>
  <c r="BT78" i="5" s="1"/>
  <c r="BT45" i="5" a="1"/>
  <c r="BT45" i="5" s="1"/>
  <c r="BT72" i="5" a="1"/>
  <c r="BT72" i="5" s="1"/>
  <c r="BT81" i="5" a="1"/>
  <c r="BT81" i="5" s="1"/>
  <c r="BT50" i="5" a="1"/>
  <c r="BT50" i="5" s="1"/>
  <c r="BT36" i="5" a="1"/>
  <c r="BT36" i="5" s="1"/>
  <c r="BT44" i="5"/>
  <c r="BT57" i="5"/>
  <c r="W35" i="5"/>
  <c r="AC35" i="16"/>
  <c r="AB35" i="16"/>
  <c r="AA35" i="16"/>
  <c r="Z35" i="16"/>
  <c r="Y35" i="16"/>
  <c r="X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J35" i="16"/>
  <c r="AC34" i="16"/>
  <c r="AB34" i="16"/>
  <c r="AA34" i="16"/>
  <c r="Z34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J34" i="16"/>
  <c r="AX32" i="16"/>
  <c r="AW32" i="16"/>
  <c r="AV32" i="16"/>
  <c r="AU32" i="16"/>
  <c r="AT32" i="16"/>
  <c r="AS32" i="16"/>
  <c r="AR32" i="16"/>
  <c r="AQ32" i="16"/>
  <c r="AP32" i="16"/>
  <c r="AO32" i="16"/>
  <c r="AN32" i="16"/>
  <c r="AM32" i="16"/>
  <c r="AL32" i="16"/>
  <c r="AK32" i="16"/>
  <c r="AJ32" i="16"/>
  <c r="AI32" i="16"/>
  <c r="AH32" i="16"/>
  <c r="BS44" i="5" l="1"/>
  <c r="BS60" i="5"/>
  <c r="BS45" i="5" a="1"/>
  <c r="BS45" i="5" s="1"/>
  <c r="BS84" i="5" a="1"/>
  <c r="BS84" i="5" s="1"/>
  <c r="BS52" i="5"/>
  <c r="BS87" i="5" a="1"/>
  <c r="BS87" i="5" s="1"/>
  <c r="BS41" i="5"/>
  <c r="BS57" i="5"/>
  <c r="BS35" i="5"/>
  <c r="BS68" i="5"/>
  <c r="BS42" i="5" a="1"/>
  <c r="BS42" i="5" s="1"/>
  <c r="BS49" i="5"/>
  <c r="BS32" i="5"/>
  <c r="BS39" i="5" a="1"/>
  <c r="BS39" i="5" s="1"/>
  <c r="BS75" i="5" a="1"/>
  <c r="BS75" i="5" s="1"/>
  <c r="BS81" i="5" a="1"/>
  <c r="BS81" i="5" s="1"/>
  <c r="BS72" i="5" a="1"/>
  <c r="BS72" i="5" s="1"/>
  <c r="BS66" i="5" a="1"/>
  <c r="BS66" i="5" s="1"/>
  <c r="BS61" i="5" a="1"/>
  <c r="BS61" i="5" s="1"/>
  <c r="BS69" i="5" a="1"/>
  <c r="BS69" i="5" s="1"/>
  <c r="BS53" i="5" a="1"/>
  <c r="BS53" i="5" s="1"/>
  <c r="BS38" i="5"/>
  <c r="BS33" i="5"/>
  <c r="BS36" i="5" a="1"/>
  <c r="BS36" i="5" s="1"/>
  <c r="BS78" i="5" a="1"/>
  <c r="BS78" i="5" s="1"/>
  <c r="BS50" i="5" a="1"/>
  <c r="BS50" i="5" s="1"/>
  <c r="BS58" i="5" a="1"/>
  <c r="BS58" i="5" s="1"/>
  <c r="BR84" i="5" a="1"/>
  <c r="BR84" i="5" s="1"/>
  <c r="BR81" i="5" a="1"/>
  <c r="BR81" i="5" s="1"/>
  <c r="BR66" i="5" a="1"/>
  <c r="BR66" i="5" s="1"/>
  <c r="BR53" i="5" a="1"/>
  <c r="BR53" i="5" s="1"/>
  <c r="BR78" i="5" a="1"/>
  <c r="BR78" i="5" s="1"/>
  <c r="BR42" i="5" a="1"/>
  <c r="BR42" i="5" s="1"/>
  <c r="BR36" i="5" a="1"/>
  <c r="BR36" i="5" s="1"/>
  <c r="BR58" i="5" a="1"/>
  <c r="BR58" i="5" s="1"/>
  <c r="BR69" i="5" a="1"/>
  <c r="BR69" i="5" s="1"/>
  <c r="BR45" i="5" a="1"/>
  <c r="BR45" i="5" s="1"/>
  <c r="BR72" i="5" a="1"/>
  <c r="BR72" i="5" s="1"/>
  <c r="BR50" i="5" a="1"/>
  <c r="BR50" i="5" s="1"/>
  <c r="BR39" i="5" a="1"/>
  <c r="BR39" i="5" s="1"/>
  <c r="BR61" i="5" a="1"/>
  <c r="BR61" i="5" s="1"/>
  <c r="BR75" i="5" a="1"/>
  <c r="BR75" i="5" s="1"/>
  <c r="BR87" i="5" a="1"/>
  <c r="BR87" i="5" s="1"/>
  <c r="AM34" i="16"/>
  <c r="AH35" i="16"/>
  <c r="AQ34" i="16"/>
  <c r="AU34" i="16"/>
  <c r="AL34" i="16"/>
  <c r="AL35" i="16"/>
  <c r="AH34" i="16"/>
  <c r="AX34" i="16"/>
  <c r="AX35" i="16"/>
  <c r="AP34" i="16"/>
  <c r="AP35" i="16"/>
  <c r="AT34" i="16"/>
  <c r="AT35" i="16"/>
  <c r="AK34" i="16"/>
  <c r="AS34" i="16"/>
  <c r="AI35" i="16"/>
  <c r="AQ35" i="16"/>
  <c r="AO34" i="16"/>
  <c r="AW34" i="16"/>
  <c r="AM35" i="16"/>
  <c r="AU35" i="16"/>
  <c r="AI34" i="16"/>
  <c r="AJ35" i="16"/>
  <c r="AN35" i="16"/>
  <c r="AR35" i="16"/>
  <c r="AV35" i="16"/>
  <c r="AJ34" i="16"/>
  <c r="AN34" i="16"/>
  <c r="AR34" i="16"/>
  <c r="AV34" i="16"/>
  <c r="AK35" i="16"/>
  <c r="AO35" i="16"/>
  <c r="AS35" i="16"/>
  <c r="AW35" i="16"/>
  <c r="J32" i="15"/>
  <c r="J33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W68" i="5"/>
  <c r="J68" i="5"/>
  <c r="W65" i="5"/>
  <c r="J65" i="5"/>
  <c r="W60" i="5"/>
  <c r="J60" i="5"/>
  <c r="W57" i="5"/>
  <c r="J57" i="5"/>
  <c r="W52" i="5"/>
  <c r="J52" i="5"/>
  <c r="W49" i="5"/>
  <c r="J49" i="5"/>
  <c r="W44" i="5"/>
  <c r="J44" i="5"/>
  <c r="W41" i="5"/>
  <c r="J41" i="5"/>
  <c r="E7" i="14"/>
  <c r="E8" i="14"/>
  <c r="E9" i="14"/>
  <c r="E10" i="14"/>
  <c r="E11" i="14"/>
  <c r="E12" i="14"/>
  <c r="E13" i="14"/>
  <c r="E14" i="14"/>
  <c r="E15" i="14"/>
  <c r="E6" i="14"/>
  <c r="W38" i="5"/>
  <c r="J38" i="5"/>
  <c r="J35" i="5"/>
  <c r="W32" i="5"/>
  <c r="W33" i="5"/>
  <c r="J33" i="5"/>
  <c r="J32" i="5"/>
  <c r="Q5" i="5"/>
  <c r="R5" i="5"/>
  <c r="Q6" i="5"/>
  <c r="R6" i="5"/>
  <c r="Q7" i="5"/>
  <c r="R7" i="5"/>
  <c r="Q8" i="5"/>
  <c r="R8" i="5"/>
  <c r="Q9" i="5"/>
  <c r="R9" i="5"/>
  <c r="Q10" i="5"/>
  <c r="R10" i="5"/>
  <c r="Q11" i="5"/>
  <c r="R11" i="5"/>
  <c r="Q12" i="5"/>
  <c r="R12" i="5"/>
  <c r="Q13" i="5"/>
  <c r="R13" i="5"/>
  <c r="Q14" i="5"/>
  <c r="R14" i="5"/>
  <c r="Q15" i="5"/>
  <c r="R15" i="5"/>
  <c r="Q16" i="5"/>
  <c r="R16" i="5"/>
  <c r="Q17" i="5"/>
  <c r="R17" i="5"/>
  <c r="Q18" i="5"/>
  <c r="R18" i="5"/>
  <c r="Q19" i="5"/>
  <c r="R19" i="5"/>
  <c r="Q20" i="5"/>
  <c r="R20" i="5"/>
  <c r="Q21" i="5"/>
  <c r="R21" i="5"/>
  <c r="Q22" i="5"/>
  <c r="R22" i="5"/>
  <c r="Q23" i="5"/>
  <c r="R23" i="5"/>
  <c r="Q24" i="5"/>
  <c r="R24" i="5"/>
  <c r="Q25" i="5"/>
  <c r="R25" i="5"/>
  <c r="Q26" i="5"/>
  <c r="R26" i="5"/>
  <c r="Q27" i="5"/>
  <c r="R27" i="5"/>
  <c r="Q28" i="5"/>
  <c r="R28" i="5"/>
  <c r="Q29" i="5"/>
  <c r="R29" i="5"/>
  <c r="Q30" i="5"/>
  <c r="R30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R65" i="5" l="1"/>
  <c r="Q65" i="5"/>
  <c r="R49" i="5"/>
  <c r="Q60" i="5"/>
  <c r="R60" i="5"/>
  <c r="Q49" i="5"/>
  <c r="Q41" i="5"/>
  <c r="R41" i="5"/>
  <c r="R57" i="5"/>
  <c r="Q57" i="5"/>
  <c r="R52" i="5"/>
  <c r="R35" i="5"/>
  <c r="Q35" i="5"/>
  <c r="Q52" i="5"/>
  <c r="Q42" i="5" a="1"/>
  <c r="Q42" i="5" s="1"/>
  <c r="Q50" i="5" a="1"/>
  <c r="Q50" i="5" s="1"/>
  <c r="Q75" i="5" a="1"/>
  <c r="Q75" i="5" s="1"/>
  <c r="Q81" i="5" a="1"/>
  <c r="Q81" i="5" s="1"/>
  <c r="Q32" i="5"/>
  <c r="Q45" i="5" a="1"/>
  <c r="Q45" i="5" s="1"/>
  <c r="Q53" i="5" a="1"/>
  <c r="Q53" i="5" s="1"/>
  <c r="Q58" i="5" a="1"/>
  <c r="Q58" i="5" s="1"/>
  <c r="Q66" i="5" a="1"/>
  <c r="Q66" i="5" s="1"/>
  <c r="Q84" i="5" a="1"/>
  <c r="Q84" i="5" s="1"/>
  <c r="Q61" i="5" a="1"/>
  <c r="Q61" i="5" s="1"/>
  <c r="Q72" i="5" a="1"/>
  <c r="Q72" i="5" s="1"/>
  <c r="Q87" i="5" a="1"/>
  <c r="Q87" i="5" s="1"/>
  <c r="Q36" i="5" a="1"/>
  <c r="Q36" i="5" s="1"/>
  <c r="Q33" i="5"/>
  <c r="Q69" i="5" a="1"/>
  <c r="Q69" i="5" s="1"/>
  <c r="Q39" i="5" a="1"/>
  <c r="Q39" i="5" s="1"/>
  <c r="Q78" i="5" a="1"/>
  <c r="Q78" i="5" s="1"/>
  <c r="R38" i="5"/>
  <c r="R44" i="5"/>
  <c r="R36" i="5" a="1"/>
  <c r="R36" i="5" s="1"/>
  <c r="R61" i="5" a="1"/>
  <c r="R61" i="5" s="1"/>
  <c r="R69" i="5" a="1"/>
  <c r="R69" i="5" s="1"/>
  <c r="R72" i="5" a="1"/>
  <c r="R72" i="5" s="1"/>
  <c r="R39" i="5" a="1"/>
  <c r="R39" i="5" s="1"/>
  <c r="R42" i="5" a="1"/>
  <c r="R42" i="5" s="1"/>
  <c r="R78" i="5" a="1"/>
  <c r="R78" i="5" s="1"/>
  <c r="R32" i="5"/>
  <c r="R58" i="5" a="1"/>
  <c r="R58" i="5" s="1"/>
  <c r="R81" i="5" a="1"/>
  <c r="R81" i="5" s="1"/>
  <c r="R84" i="5" a="1"/>
  <c r="R84" i="5" s="1"/>
  <c r="R50" i="5" a="1"/>
  <c r="R50" i="5" s="1"/>
  <c r="R45" i="5" a="1"/>
  <c r="R45" i="5" s="1"/>
  <c r="R33" i="5"/>
  <c r="R53" i="5" a="1"/>
  <c r="R53" i="5" s="1"/>
  <c r="R66" i="5" a="1"/>
  <c r="R66" i="5" s="1"/>
  <c r="R75" i="5" a="1"/>
  <c r="R75" i="5" s="1"/>
  <c r="R87" i="5" a="1"/>
  <c r="R87" i="5" s="1"/>
  <c r="Q38" i="5"/>
  <c r="Q44" i="5"/>
  <c r="DP37" i="5"/>
  <c r="DL37" i="5"/>
  <c r="DO37" i="5"/>
  <c r="DN37" i="5"/>
  <c r="DM37" i="5"/>
  <c r="J12" i="14"/>
  <c r="J9" i="14"/>
  <c r="J11" i="14"/>
  <c r="J15" i="14"/>
  <c r="J6" i="14"/>
  <c r="J7" i="14"/>
  <c r="K14" i="14" a="1"/>
  <c r="K14" i="14" s="1"/>
  <c r="K16" i="14" a="1"/>
  <c r="K16" i="14" s="1"/>
  <c r="K18" i="14" a="1"/>
  <c r="K18" i="14" s="1"/>
  <c r="K10" i="14" a="1"/>
  <c r="K10" i="14" s="1"/>
  <c r="K15" i="14" a="1"/>
  <c r="K15" i="14" s="1"/>
  <c r="K8" i="14" a="1"/>
  <c r="K8" i="14" s="1"/>
  <c r="K11" i="14" a="1"/>
  <c r="K11" i="14" s="1"/>
  <c r="K13" i="14" a="1"/>
  <c r="K13" i="14" s="1"/>
  <c r="K9" i="14" a="1"/>
  <c r="K9" i="14" s="1"/>
  <c r="K17" i="14" a="1"/>
  <c r="K17" i="14" s="1"/>
  <c r="K19" i="14" a="1"/>
  <c r="K19" i="14" s="1"/>
  <c r="K6" i="14" a="1"/>
  <c r="K6" i="14" s="1"/>
  <c r="K20" i="14" a="1"/>
  <c r="K20" i="14" s="1"/>
  <c r="K12" i="14" a="1"/>
  <c r="K12" i="14" s="1"/>
  <c r="K21" i="14" a="1"/>
  <c r="K21" i="14" s="1"/>
  <c r="K7" i="14" a="1"/>
  <c r="K7" i="14" s="1"/>
  <c r="J14" i="14"/>
  <c r="J13" i="14"/>
  <c r="J8" i="14"/>
  <c r="J10" i="14"/>
  <c r="L33" i="15"/>
  <c r="L32" i="15"/>
  <c r="AZ100" i="16" l="1"/>
  <c r="AZ93" i="16"/>
  <c r="AZ86" i="16"/>
  <c r="BA79" i="16"/>
  <c r="AY73" i="16" a="1"/>
  <c r="AY73" i="16" s="1"/>
  <c r="AY65" i="16"/>
  <c r="AY52" i="16" a="1"/>
  <c r="AY52" i="16" s="1"/>
  <c r="AY44" i="16"/>
  <c r="AY37" i="16"/>
  <c r="AY100" i="16"/>
  <c r="AY93" i="16"/>
  <c r="AY86" i="16"/>
  <c r="AZ79" i="16"/>
  <c r="AZ72" i="16"/>
  <c r="BB59" i="16" a="1"/>
  <c r="BB59" i="16" s="1"/>
  <c r="BB45" i="16" a="1"/>
  <c r="BB45" i="16" s="1"/>
  <c r="BB38" i="16" a="1"/>
  <c r="BB38" i="16" s="1"/>
  <c r="BB100" i="16"/>
  <c r="BB93" i="16"/>
  <c r="BB86" i="16"/>
  <c r="BB80" i="16" a="1"/>
  <c r="BB80" i="16" s="1"/>
  <c r="AY79" i="16"/>
  <c r="BB66" i="16" a="1"/>
  <c r="BB66" i="16" s="1"/>
  <c r="AY58" i="16"/>
  <c r="AZ45" i="16" a="1"/>
  <c r="AZ45" i="16" s="1"/>
  <c r="AZ38" i="16" a="1"/>
  <c r="AZ38" i="16" s="1"/>
  <c r="BA100" i="16"/>
  <c r="BA93" i="16"/>
  <c r="BA86" i="16"/>
  <c r="BB79" i="16"/>
  <c r="BB73" i="16" a="1"/>
  <c r="BB73" i="16" s="1"/>
  <c r="AZ65" i="16"/>
  <c r="BB52" i="16" a="1"/>
  <c r="BB52" i="16" s="1"/>
  <c r="AZ44" i="16"/>
  <c r="AZ37" i="16"/>
  <c r="BA37" i="16"/>
  <c r="AY72" i="16"/>
  <c r="BA44" i="16"/>
  <c r="BB58" i="16"/>
  <c r="BA80" i="16" a="1"/>
  <c r="BA80" i="16" s="1"/>
  <c r="AZ52" i="16" a="1"/>
  <c r="AZ52" i="16" s="1"/>
  <c r="AZ73" i="16" a="1"/>
  <c r="AZ73" i="16" s="1"/>
  <c r="AY45" i="16" a="1"/>
  <c r="AY45" i="16" s="1"/>
  <c r="AY87" i="16" a="1"/>
  <c r="AY87" i="16" s="1"/>
  <c r="BA94" i="16" a="1"/>
  <c r="BA94" i="16" s="1"/>
  <c r="BA65" i="16"/>
  <c r="AZ58" i="16"/>
  <c r="BA72" i="16"/>
  <c r="BB44" i="16"/>
  <c r="BA38" i="16" a="1"/>
  <c r="BA38" i="16" s="1"/>
  <c r="AZ59" i="16" a="1"/>
  <c r="AZ59" i="16" s="1"/>
  <c r="BA73" i="16" a="1"/>
  <c r="BA73" i="16" s="1"/>
  <c r="BA51" i="16"/>
  <c r="BB65" i="16"/>
  <c r="AZ80" i="16" a="1"/>
  <c r="AZ80" i="16" s="1"/>
  <c r="BA59" i="16" a="1"/>
  <c r="BA59" i="16" s="1"/>
  <c r="AY80" i="16" a="1"/>
  <c r="AY80" i="16" s="1"/>
  <c r="BA58" i="16"/>
  <c r="BB37" i="16"/>
  <c r="BB72" i="16"/>
  <c r="BA66" i="16" a="1"/>
  <c r="BA66" i="16" s="1"/>
  <c r="AZ66" i="16" a="1"/>
  <c r="AZ66" i="16" s="1"/>
  <c r="AZ87" i="16" a="1"/>
  <c r="AZ87" i="16" s="1"/>
  <c r="AY59" i="16" a="1"/>
  <c r="AY59" i="16" s="1"/>
  <c r="AY101" i="16" a="1"/>
  <c r="AY101" i="16" s="1"/>
  <c r="BA45" i="16" a="1"/>
  <c r="BA45" i="16" s="1"/>
  <c r="AY66" i="16" a="1"/>
  <c r="AY66" i="16" s="1"/>
  <c r="BB87" i="16" a="1"/>
  <c r="BB87" i="16" s="1"/>
  <c r="BB94" i="16" a="1"/>
  <c r="BB94" i="16" s="1"/>
  <c r="BB101" i="16" a="1"/>
  <c r="BB101" i="16" s="1"/>
  <c r="AZ101" i="16" a="1"/>
  <c r="AZ101" i="16" s="1"/>
  <c r="AZ51" i="16"/>
  <c r="AY94" i="16" a="1"/>
  <c r="AY94" i="16" s="1"/>
  <c r="AY51" i="16"/>
  <c r="BB51" i="16"/>
  <c r="AZ94" i="16" a="1"/>
  <c r="AZ94" i="16" s="1"/>
  <c r="BA87" i="16" a="1"/>
  <c r="BA87" i="16" s="1"/>
  <c r="BA101" i="16" a="1"/>
  <c r="BA101" i="16" s="1"/>
  <c r="AY38" i="16" a="1"/>
  <c r="AY38" i="16" s="1"/>
  <c r="BA52" i="16" a="1"/>
  <c r="BA52" i="16" s="1"/>
  <c r="AF38" i="16" a="1"/>
  <c r="AF38" i="16" s="1"/>
  <c r="AF66" i="16" a="1"/>
  <c r="AF66" i="16" s="1"/>
  <c r="AF94" i="16" a="1"/>
  <c r="AF94" i="16" s="1"/>
  <c r="AD38" i="16" a="1"/>
  <c r="AD38" i="16" s="1"/>
  <c r="AD45" i="16" a="1"/>
  <c r="AD45" i="16" s="1"/>
  <c r="AF45" i="16" a="1"/>
  <c r="AF45" i="16" s="1"/>
  <c r="AF52" i="16" a="1"/>
  <c r="AF52" i="16" s="1"/>
  <c r="AD59" i="16" a="1"/>
  <c r="AD59" i="16" s="1"/>
  <c r="AD66" i="16" a="1"/>
  <c r="AD66" i="16" s="1"/>
  <c r="AF73" i="16" a="1"/>
  <c r="AF73" i="16" s="1"/>
  <c r="AD87" i="16" a="1"/>
  <c r="AD87" i="16" s="1"/>
  <c r="AD94" i="16" a="1"/>
  <c r="AD94" i="16" s="1"/>
  <c r="AF101" i="16" a="1"/>
  <c r="AF101" i="16" s="1"/>
  <c r="AD80" i="16" a="1"/>
  <c r="AD80" i="16" s="1"/>
  <c r="AE38" i="16" a="1"/>
  <c r="AE38" i="16" s="1"/>
  <c r="AE45" i="16" a="1"/>
  <c r="AE45" i="16" s="1"/>
  <c r="AE52" i="16" a="1"/>
  <c r="AE52" i="16" s="1"/>
  <c r="AE59" i="16" a="1"/>
  <c r="AE59" i="16" s="1"/>
  <c r="AE66" i="16" a="1"/>
  <c r="AE66" i="16" s="1"/>
  <c r="AE73" i="16" a="1"/>
  <c r="AE73" i="16" s="1"/>
  <c r="AE80" i="16" a="1"/>
  <c r="AE80" i="16" s="1"/>
  <c r="AE87" i="16" a="1"/>
  <c r="AE87" i="16" s="1"/>
  <c r="AE94" i="16" a="1"/>
  <c r="AE94" i="16" s="1"/>
  <c r="AE101" i="16" a="1"/>
  <c r="AE101" i="16" s="1"/>
  <c r="AF59" i="16" a="1"/>
  <c r="AF59" i="16" s="1"/>
  <c r="AD73" i="16" a="1"/>
  <c r="AD73" i="16" s="1"/>
  <c r="AF80" i="16" a="1"/>
  <c r="AF80" i="16" s="1"/>
  <c r="AF87" i="16" a="1"/>
  <c r="AF87" i="16" s="1"/>
  <c r="AD101" i="16" a="1"/>
  <c r="AD101" i="16" s="1"/>
  <c r="AD52" i="16" a="1"/>
  <c r="AD52" i="16" s="1"/>
  <c r="AE51" i="16"/>
  <c r="AD37" i="16"/>
  <c r="AE65" i="16"/>
  <c r="AF44" i="16"/>
  <c r="AD72" i="16"/>
  <c r="AE100" i="16"/>
  <c r="AF58" i="16"/>
  <c r="AE86" i="16"/>
  <c r="AD51" i="16"/>
  <c r="AE93" i="16"/>
  <c r="AF100" i="16"/>
  <c r="AD65" i="16"/>
  <c r="AD100" i="16"/>
  <c r="AF86" i="16"/>
  <c r="AF51" i="16"/>
  <c r="AE37" i="16"/>
  <c r="AF93" i="16"/>
  <c r="AD44" i="16"/>
  <c r="AE72" i="16"/>
  <c r="AE79" i="16"/>
  <c r="AD58" i="16"/>
  <c r="AD86" i="16"/>
  <c r="AF65" i="16"/>
  <c r="AE44" i="16"/>
  <c r="AD79" i="16"/>
  <c r="AE58" i="16"/>
  <c r="AF37" i="16"/>
  <c r="AD93" i="16"/>
  <c r="AF72" i="16"/>
  <c r="AF79" i="16"/>
  <c r="F16" i="14"/>
  <c r="G19" i="14" a="1"/>
  <c r="G19" i="14" s="1"/>
  <c r="F20" i="14"/>
  <c r="F18" i="14"/>
  <c r="G21" i="14" a="1"/>
  <c r="G21" i="14" s="1"/>
  <c r="G18" i="14" a="1"/>
  <c r="G18" i="14" s="1"/>
  <c r="G16" i="14" a="1"/>
  <c r="G16" i="14" s="1"/>
  <c r="F17" i="14"/>
  <c r="G20" i="14" a="1"/>
  <c r="G20" i="14" s="1"/>
  <c r="F21" i="14"/>
  <c r="G17" i="14" a="1"/>
  <c r="G17" i="14" s="1"/>
  <c r="F19" i="14"/>
  <c r="CN80" i="15"/>
  <c r="CO80" i="15"/>
  <c r="CM81" i="15" a="1"/>
  <c r="CM81" i="15" s="1"/>
  <c r="CP81" i="15" a="1"/>
  <c r="CP81" i="15" s="1"/>
  <c r="CN71" i="15"/>
  <c r="CO71" i="15"/>
  <c r="CJ72" i="15" a="1"/>
  <c r="CJ72" i="15" s="1"/>
  <c r="CP72" i="15" a="1"/>
  <c r="CP72" i="15" s="1"/>
  <c r="CN74" i="15"/>
  <c r="CO74" i="15"/>
  <c r="CP75" i="15" a="1"/>
  <c r="CP75" i="15" s="1"/>
  <c r="CK75" i="15" a="1"/>
  <c r="CK75" i="15" s="1"/>
  <c r="CN68" i="15"/>
  <c r="CO68" i="15"/>
  <c r="CP69" i="15" a="1"/>
  <c r="CP69" i="15" s="1"/>
  <c r="CN65" i="15"/>
  <c r="CL65" i="15"/>
  <c r="CJ66" i="15" a="1"/>
  <c r="CJ66" i="15" s="1"/>
  <c r="CN77" i="15"/>
  <c r="CO77" i="15"/>
  <c r="CL78" i="15" a="1"/>
  <c r="CL78" i="15" s="1"/>
  <c r="CK35" i="15"/>
  <c r="CK36" i="15" a="1"/>
  <c r="CK36" i="15" s="1"/>
  <c r="CN35" i="15"/>
  <c r="CM42" i="15" a="1"/>
  <c r="CM42" i="15" s="1"/>
  <c r="CO41" i="15"/>
  <c r="CP41" i="15"/>
  <c r="CN53" i="15"/>
  <c r="CJ53" i="15"/>
  <c r="CN54" i="15" a="1"/>
  <c r="CN54" i="15" s="1"/>
  <c r="CL54" i="15" a="1"/>
  <c r="CL54" i="15" s="1"/>
  <c r="CN44" i="15"/>
  <c r="CM45" i="15" a="1"/>
  <c r="CM45" i="15" s="1"/>
  <c r="CO56" i="15"/>
  <c r="CP56" i="15"/>
  <c r="CM47" i="15"/>
  <c r="CM48" i="15" a="1"/>
  <c r="CM48" i="15" s="1"/>
  <c r="CL47" i="15"/>
  <c r="CP47" i="15"/>
  <c r="CP59" i="15"/>
  <c r="CK59" i="15"/>
  <c r="CM59" i="15"/>
  <c r="CN59" i="15"/>
  <c r="CM38" i="15"/>
  <c r="CM39" i="15" a="1"/>
  <c r="CM39" i="15" s="1"/>
  <c r="CK38" i="15"/>
  <c r="CN50" i="15"/>
  <c r="CP51" i="15" a="1"/>
  <c r="CP51" i="15" s="1"/>
  <c r="CM50" i="15"/>
  <c r="CK51" i="15" a="1"/>
  <c r="CK51" i="15" s="1"/>
  <c r="CM62" i="15"/>
  <c r="CO62" i="15"/>
  <c r="CP62" i="15"/>
  <c r="CK63" i="15" a="1"/>
  <c r="CK63" i="15" s="1"/>
  <c r="AT54" i="15" a="1"/>
  <c r="AT54" i="15" s="1"/>
  <c r="AS54" i="15" a="1"/>
  <c r="AS54" i="15" s="1"/>
  <c r="AW54" i="15" a="1"/>
  <c r="AW54" i="15" s="1"/>
  <c r="AT66" i="15" a="1"/>
  <c r="AT66" i="15" s="1"/>
  <c r="AV66" i="15" a="1"/>
  <c r="AV66" i="15" s="1"/>
  <c r="AS66" i="15" a="1"/>
  <c r="AS66" i="15" s="1"/>
  <c r="AT57" i="15" a="1"/>
  <c r="AT57" i="15" s="1"/>
  <c r="AV56" i="15"/>
  <c r="AT69" i="15" a="1"/>
  <c r="AT69" i="15" s="1"/>
  <c r="AV68" i="15"/>
  <c r="AV69" i="15" a="1"/>
  <c r="AV69" i="15" s="1"/>
  <c r="AT81" i="15" a="1"/>
  <c r="AT81" i="15" s="1"/>
  <c r="AV81" i="15" a="1"/>
  <c r="AV81" i="15" s="1"/>
  <c r="AT36" i="15" a="1"/>
  <c r="AT36" i="15" s="1"/>
  <c r="AW36" i="15" a="1"/>
  <c r="AW36" i="15" s="1"/>
  <c r="AV36" i="15" a="1"/>
  <c r="AV36" i="15" s="1"/>
  <c r="AT48" i="15" a="1"/>
  <c r="AT48" i="15" s="1"/>
  <c r="AV48" i="15" a="1"/>
  <c r="AV48" i="15" s="1"/>
  <c r="AS48" i="15" a="1"/>
  <c r="AS48" i="15" s="1"/>
  <c r="AT60" i="15" a="1"/>
  <c r="AT60" i="15" s="1"/>
  <c r="AV60" i="15" a="1"/>
  <c r="AV60" i="15" s="1"/>
  <c r="AS60" i="15" a="1"/>
  <c r="AS60" i="15" s="1"/>
  <c r="AT72" i="15" a="1"/>
  <c r="AT72" i="15" s="1"/>
  <c r="AS72" i="15" a="1"/>
  <c r="AS72" i="15" s="1"/>
  <c r="AW72" i="15" a="1"/>
  <c r="AW72" i="15" s="1"/>
  <c r="AT42" i="15" a="1"/>
  <c r="AT42" i="15" s="1"/>
  <c r="AS42" i="15" a="1"/>
  <c r="AS42" i="15" s="1"/>
  <c r="AR42" i="15" a="1"/>
  <c r="AR42" i="15" s="1"/>
  <c r="AT78" i="15" a="1"/>
  <c r="AT78" i="15" s="1"/>
  <c r="AS78" i="15" a="1"/>
  <c r="AS78" i="15" s="1"/>
  <c r="AT45" i="15" a="1"/>
  <c r="AT45" i="15" s="1"/>
  <c r="AV45" i="15" a="1"/>
  <c r="AV45" i="15" s="1"/>
  <c r="AT39" i="15" a="1"/>
  <c r="AT39" i="15" s="1"/>
  <c r="AV39" i="15" a="1"/>
  <c r="AV39" i="15" s="1"/>
  <c r="AT51" i="15" a="1"/>
  <c r="AT51" i="15" s="1"/>
  <c r="AV50" i="15"/>
  <c r="AV51" i="15" a="1"/>
  <c r="AV51" i="15" s="1"/>
  <c r="AT63" i="15" a="1"/>
  <c r="AT63" i="15" s="1"/>
  <c r="AV62" i="15"/>
  <c r="AS63" i="15" a="1"/>
  <c r="AS63" i="15" s="1"/>
  <c r="AT75" i="15" a="1"/>
  <c r="AT75" i="15" s="1"/>
  <c r="AV74" i="15"/>
  <c r="CE41" i="15"/>
  <c r="CE42" i="15" a="1"/>
  <c r="CE42" i="15" s="1"/>
  <c r="CG41" i="15"/>
  <c r="CD54" i="15" a="1"/>
  <c r="CD54" i="15" s="1"/>
  <c r="CF53" i="15"/>
  <c r="CF54" i="15" a="1"/>
  <c r="CF54" i="15" s="1"/>
  <c r="CE65" i="15"/>
  <c r="CE66" i="15" a="1"/>
  <c r="CE66" i="15" s="1"/>
  <c r="CG66" i="15" a="1"/>
  <c r="CG66" i="15" s="1"/>
  <c r="CP80" i="15"/>
  <c r="CL80" i="15"/>
  <c r="CN81" i="15" a="1"/>
  <c r="CN81" i="15" s="1"/>
  <c r="CP71" i="15"/>
  <c r="CL71" i="15"/>
  <c r="CL72" i="15" a="1"/>
  <c r="CL72" i="15" s="1"/>
  <c r="CK72" i="15" a="1"/>
  <c r="CK72" i="15" s="1"/>
  <c r="CP74" i="15"/>
  <c r="CL74" i="15"/>
  <c r="CO75" i="15" a="1"/>
  <c r="CO75" i="15" s="1"/>
  <c r="CL75" i="15" a="1"/>
  <c r="CL75" i="15" s="1"/>
  <c r="CP68" i="15"/>
  <c r="CL68" i="15"/>
  <c r="CK69" i="15" a="1"/>
  <c r="CK69" i="15" s="1"/>
  <c r="CN69" i="15" a="1"/>
  <c r="CN69" i="15" s="1"/>
  <c r="CM65" i="15"/>
  <c r="CP65" i="15"/>
  <c r="CM66" i="15" a="1"/>
  <c r="CM66" i="15" s="1"/>
  <c r="CP66" i="15" a="1"/>
  <c r="CP66" i="15" s="1"/>
  <c r="CP77" i="15"/>
  <c r="CL77" i="15"/>
  <c r="CK78" i="15" a="1"/>
  <c r="CK78" i="15" s="1"/>
  <c r="CM78" i="15" a="1"/>
  <c r="CM78" i="15" s="1"/>
  <c r="CP36" i="15" a="1"/>
  <c r="CP36" i="15" s="1"/>
  <c r="CL35" i="15"/>
  <c r="CM36" i="15" a="1"/>
  <c r="CM36" i="15" s="1"/>
  <c r="CM35" i="15"/>
  <c r="CL41" i="15"/>
  <c r="CN42" i="15" a="1"/>
  <c r="CN42" i="15" s="1"/>
  <c r="CM41" i="15"/>
  <c r="CK53" i="15"/>
  <c r="CP53" i="15"/>
  <c r="CO53" i="15"/>
  <c r="CP44" i="15"/>
  <c r="CJ44" i="15"/>
  <c r="CJ45" i="15" a="1"/>
  <c r="CJ45" i="15" s="1"/>
  <c r="CO45" i="15" a="1"/>
  <c r="CO45" i="15" s="1"/>
  <c r="CM56" i="15"/>
  <c r="CL57" i="15" a="1"/>
  <c r="CL57" i="15" s="1"/>
  <c r="CK56" i="15"/>
  <c r="CK57" i="15" a="1"/>
  <c r="CK57" i="15" s="1"/>
  <c r="CO47" i="15"/>
  <c r="CN47" i="15"/>
  <c r="CJ48" i="15" a="1"/>
  <c r="CJ48" i="15" s="1"/>
  <c r="CP48" i="15" a="1"/>
  <c r="CP48" i="15" s="1"/>
  <c r="CO59" i="15"/>
  <c r="CL59" i="15"/>
  <c r="CP60" i="15" a="1"/>
  <c r="CP60" i="15" s="1"/>
  <c r="CM60" i="15" a="1"/>
  <c r="CM60" i="15" s="1"/>
  <c r="CJ39" i="15" a="1"/>
  <c r="CJ39" i="15" s="1"/>
  <c r="CO38" i="15"/>
  <c r="CN38" i="15"/>
  <c r="CN51" i="15" a="1"/>
  <c r="CN51" i="15" s="1"/>
  <c r="CK50" i="15"/>
  <c r="CJ51" i="15" a="1"/>
  <c r="CJ51" i="15" s="1"/>
  <c r="CL51" i="15" a="1"/>
  <c r="CL51" i="15" s="1"/>
  <c r="CN62" i="15"/>
  <c r="CM63" i="15" a="1"/>
  <c r="CM63" i="15" s="1"/>
  <c r="CK62" i="15"/>
  <c r="AQ53" i="15"/>
  <c r="AS53" i="15"/>
  <c r="AV53" i="15"/>
  <c r="AQ65" i="15"/>
  <c r="AS65" i="15"/>
  <c r="AV65" i="15"/>
  <c r="AR65" i="15"/>
  <c r="AQ56" i="15"/>
  <c r="AS56" i="15"/>
  <c r="AR56" i="15"/>
  <c r="AV57" i="15" a="1"/>
  <c r="AV57" i="15" s="1"/>
  <c r="AQ68" i="15"/>
  <c r="AS68" i="15"/>
  <c r="AR68" i="15"/>
  <c r="AQ80" i="15"/>
  <c r="AS80" i="15"/>
  <c r="AR80" i="15"/>
  <c r="AT80" i="15"/>
  <c r="AQ35" i="15"/>
  <c r="AR35" i="15"/>
  <c r="AS35" i="15"/>
  <c r="AT35" i="15"/>
  <c r="AQ47" i="15"/>
  <c r="AS47" i="15"/>
  <c r="AV47" i="15"/>
  <c r="AR47" i="15"/>
  <c r="AQ59" i="15"/>
  <c r="AS59" i="15"/>
  <c r="AV59" i="15"/>
  <c r="AR59" i="15"/>
  <c r="AQ71" i="15"/>
  <c r="AS71" i="15"/>
  <c r="AV71" i="15"/>
  <c r="AQ41" i="15"/>
  <c r="AS41" i="15"/>
  <c r="AV41" i="15"/>
  <c r="AQ77" i="15"/>
  <c r="AS77" i="15"/>
  <c r="AV77" i="15"/>
  <c r="AV78" i="15" a="1"/>
  <c r="AV78" i="15" s="1"/>
  <c r="AQ44" i="15"/>
  <c r="AS44" i="15"/>
  <c r="AR44" i="15"/>
  <c r="AT44" i="15"/>
  <c r="AQ38" i="15"/>
  <c r="AS38" i="15"/>
  <c r="AR38" i="15"/>
  <c r="AT38" i="15"/>
  <c r="AQ50" i="15"/>
  <c r="AS50" i="15"/>
  <c r="AR50" i="15"/>
  <c r="AQ62" i="15"/>
  <c r="AS62" i="15"/>
  <c r="AR62" i="15"/>
  <c r="AQ74" i="15"/>
  <c r="AS74" i="15"/>
  <c r="AR74" i="15"/>
  <c r="AV75" i="15" a="1"/>
  <c r="AV75" i="15" s="1"/>
  <c r="CI41" i="15"/>
  <c r="CI42" i="15" a="1"/>
  <c r="CI42" i="15" s="1"/>
  <c r="CH41" i="15"/>
  <c r="CE53" i="15"/>
  <c r="CH53" i="15"/>
  <c r="CH54" i="15" a="1"/>
  <c r="CH54" i="15" s="1"/>
  <c r="CD65" i="15"/>
  <c r="CI65" i="15"/>
  <c r="CF66" i="15" a="1"/>
  <c r="CF66" i="15" s="1"/>
  <c r="CG77" i="15"/>
  <c r="CI77" i="15"/>
  <c r="CH78" i="15" a="1"/>
  <c r="CH78" i="15" s="1"/>
  <c r="CF44" i="15"/>
  <c r="CH45" i="15" a="1"/>
  <c r="CH45" i="15" s="1"/>
  <c r="CH44" i="15"/>
  <c r="CG56" i="15"/>
  <c r="CI57" i="15" a="1"/>
  <c r="CI57" i="15" s="1"/>
  <c r="CF57" i="15" a="1"/>
  <c r="CF57" i="15" s="1"/>
  <c r="CG68" i="15"/>
  <c r="CH68" i="15"/>
  <c r="CI69" i="15" a="1"/>
  <c r="CI69" i="15" s="1"/>
  <c r="CF80" i="15"/>
  <c r="CH81" i="15" a="1"/>
  <c r="CH81" i="15" s="1"/>
  <c r="CG81" i="15" a="1"/>
  <c r="CG81" i="15" s="1"/>
  <c r="CE36" i="15" a="1"/>
  <c r="CE36" i="15" s="1"/>
  <c r="CI35" i="15"/>
  <c r="CG36" i="15" a="1"/>
  <c r="CG36" i="15" s="1"/>
  <c r="CG48" i="15" a="1"/>
  <c r="CG48" i="15" s="1"/>
  <c r="CH48" i="15" a="1"/>
  <c r="CH48" i="15" s="1"/>
  <c r="CF48" i="15" a="1"/>
  <c r="CF48" i="15" s="1"/>
  <c r="CD59" i="15"/>
  <c r="CG59" i="15"/>
  <c r="CG60" i="15" a="1"/>
  <c r="CG60" i="15" s="1"/>
  <c r="CF71" i="15"/>
  <c r="CD71" i="15"/>
  <c r="CI72" i="15" a="1"/>
  <c r="CI72" i="15" s="1"/>
  <c r="CD38" i="15"/>
  <c r="CF38" i="15"/>
  <c r="CG39" i="15" a="1"/>
  <c r="CG39" i="15" s="1"/>
  <c r="CE51" i="15" a="1"/>
  <c r="CE51" i="15" s="1"/>
  <c r="CE50" i="15"/>
  <c r="CI51" i="15" a="1"/>
  <c r="CI51" i="15" s="1"/>
  <c r="CD62" i="15"/>
  <c r="CD63" i="15" a="1"/>
  <c r="CD63" i="15" s="1"/>
  <c r="CE62" i="15"/>
  <c r="CD74" i="15"/>
  <c r="CI74" i="15"/>
  <c r="CG75" i="15" a="1"/>
  <c r="CG75" i="15" s="1"/>
  <c r="CL81" i="15" a="1"/>
  <c r="CL81" i="15" s="1"/>
  <c r="CM72" i="15" a="1"/>
  <c r="CM72" i="15" s="1"/>
  <c r="CJ75" i="15" a="1"/>
  <c r="CJ75" i="15" s="1"/>
  <c r="CJ69" i="15" a="1"/>
  <c r="CJ69" i="15" s="1"/>
  <c r="CK65" i="15"/>
  <c r="CL66" i="15" a="1"/>
  <c r="CL66" i="15" s="1"/>
  <c r="CJ78" i="15" a="1"/>
  <c r="CJ78" i="15" s="1"/>
  <c r="CN36" i="15" a="1"/>
  <c r="CN36" i="15" s="1"/>
  <c r="CJ42" i="15" a="1"/>
  <c r="CJ42" i="15" s="1"/>
  <c r="CK41" i="15"/>
  <c r="CO54" i="15" a="1"/>
  <c r="CO54" i="15" s="1"/>
  <c r="CL45" i="15" a="1"/>
  <c r="CL45" i="15" s="1"/>
  <c r="CK44" i="15"/>
  <c r="CN57" i="15" a="1"/>
  <c r="CN57" i="15" s="1"/>
  <c r="CO57" i="15" a="1"/>
  <c r="CO57" i="15" s="1"/>
  <c r="CO48" i="15" a="1"/>
  <c r="CO48" i="15" s="1"/>
  <c r="CK47" i="15"/>
  <c r="CN60" i="15" a="1"/>
  <c r="CN60" i="15" s="1"/>
  <c r="CJ60" i="15" a="1"/>
  <c r="CJ60" i="15" s="1"/>
  <c r="CP39" i="15" a="1"/>
  <c r="CP39" i="15" s="1"/>
  <c r="CO39" i="15" a="1"/>
  <c r="CO39" i="15" s="1"/>
  <c r="CL50" i="15"/>
  <c r="CO51" i="15" a="1"/>
  <c r="CO51" i="15" s="1"/>
  <c r="CO63" i="15" a="1"/>
  <c r="CO63" i="15" s="1"/>
  <c r="CP63" i="15" a="1"/>
  <c r="CP63" i="15" s="1"/>
  <c r="AW53" i="15"/>
  <c r="AV54" i="15" a="1"/>
  <c r="AV54" i="15" s="1"/>
  <c r="AW65" i="15"/>
  <c r="AW66" i="15" a="1"/>
  <c r="AW66" i="15" s="1"/>
  <c r="AW56" i="15"/>
  <c r="AT56" i="15"/>
  <c r="AW68" i="15"/>
  <c r="AT68" i="15"/>
  <c r="AW80" i="15"/>
  <c r="AS81" i="15" a="1"/>
  <c r="AS81" i="15" s="1"/>
  <c r="AV35" i="15"/>
  <c r="AW47" i="15"/>
  <c r="AW48" i="15" a="1"/>
  <c r="AW48" i="15" s="1"/>
  <c r="AW59" i="15"/>
  <c r="AW60" i="15" a="1"/>
  <c r="AW60" i="15" s="1"/>
  <c r="AW71" i="15"/>
  <c r="AV72" i="15" a="1"/>
  <c r="AV72" i="15" s="1"/>
  <c r="AW41" i="15"/>
  <c r="AV42" i="15" a="1"/>
  <c r="AV42" i="15" s="1"/>
  <c r="AW77" i="15"/>
  <c r="AR78" i="15" a="1"/>
  <c r="AR78" i="15" s="1"/>
  <c r="AW44" i="15"/>
  <c r="AS45" i="15" a="1"/>
  <c r="AS45" i="15" s="1"/>
  <c r="AW38" i="15"/>
  <c r="AS39" i="15" a="1"/>
  <c r="AS39" i="15" s="1"/>
  <c r="AW50" i="15"/>
  <c r="AT50" i="15"/>
  <c r="AW62" i="15"/>
  <c r="AV63" i="15" a="1"/>
  <c r="AV63" i="15" s="1"/>
  <c r="AW74" i="15"/>
  <c r="AT74" i="15"/>
  <c r="CD42" i="15" a="1"/>
  <c r="CD42" i="15" s="1"/>
  <c r="CD53" i="15"/>
  <c r="CE54" i="15" a="1"/>
  <c r="CE54" i="15" s="1"/>
  <c r="CF65" i="15"/>
  <c r="CE77" i="15"/>
  <c r="CI78" i="15" a="1"/>
  <c r="CI78" i="15" s="1"/>
  <c r="CG78" i="15" a="1"/>
  <c r="CG78" i="15" s="1"/>
  <c r="CD45" i="15" a="1"/>
  <c r="CD45" i="15" s="1"/>
  <c r="CE44" i="15"/>
  <c r="CF56" i="15"/>
  <c r="CE56" i="15"/>
  <c r="CF68" i="15"/>
  <c r="CE69" i="15" a="1"/>
  <c r="CE69" i="15" s="1"/>
  <c r="CD80" i="15"/>
  <c r="CE80" i="15"/>
  <c r="CE81" i="15" a="1"/>
  <c r="CE81" i="15" s="1"/>
  <c r="CD36" i="15" a="1"/>
  <c r="CD36" i="15" s="1"/>
  <c r="CF36" i="15" a="1"/>
  <c r="CF36" i="15" s="1"/>
  <c r="CG47" i="15"/>
  <c r="CI48" i="15" a="1"/>
  <c r="CI48" i="15" s="1"/>
  <c r="CE59" i="15"/>
  <c r="CF60" i="15" a="1"/>
  <c r="CF60" i="15" s="1"/>
  <c r="CH71" i="15"/>
  <c r="CG72" i="15" a="1"/>
  <c r="CG72" i="15" s="1"/>
  <c r="CD72" i="15" a="1"/>
  <c r="CD72" i="15" s="1"/>
  <c r="CI39" i="15" a="1"/>
  <c r="CI39" i="15" s="1"/>
  <c r="CE39" i="15" a="1"/>
  <c r="CE39" i="15" s="1"/>
  <c r="CI50" i="15"/>
  <c r="CG50" i="15"/>
  <c r="CF62" i="15"/>
  <c r="CI63" i="15" a="1"/>
  <c r="CI63" i="15" s="1"/>
  <c r="CH74" i="15"/>
  <c r="CI75" i="15" a="1"/>
  <c r="CI75" i="15" s="1"/>
  <c r="CF75" i="15" a="1"/>
  <c r="CF75" i="15" s="1"/>
  <c r="CM80" i="15"/>
  <c r="CJ81" i="15" a="1"/>
  <c r="CJ81" i="15" s="1"/>
  <c r="CM71" i="15"/>
  <c r="CM74" i="15"/>
  <c r="CM75" i="15" a="1"/>
  <c r="CM75" i="15" s="1"/>
  <c r="CM68" i="15"/>
  <c r="CL69" i="15" a="1"/>
  <c r="CL69" i="15" s="1"/>
  <c r="CK66" i="15" a="1"/>
  <c r="CK66" i="15" s="1"/>
  <c r="CM77" i="15"/>
  <c r="CO78" i="15" a="1"/>
  <c r="CO78" i="15" s="1"/>
  <c r="CP35" i="15"/>
  <c r="CJ36" i="15" a="1"/>
  <c r="CJ36" i="15" s="1"/>
  <c r="CJ41" i="15"/>
  <c r="CP42" i="15" a="1"/>
  <c r="CP42" i="15" s="1"/>
  <c r="CM54" i="15" a="1"/>
  <c r="CM54" i="15" s="1"/>
  <c r="CM53" i="15"/>
  <c r="CO44" i="15"/>
  <c r="CN45" i="15" a="1"/>
  <c r="CN45" i="15" s="1"/>
  <c r="CL56" i="15"/>
  <c r="CP57" i="15" a="1"/>
  <c r="CP57" i="15" s="1"/>
  <c r="CL48" i="15" a="1"/>
  <c r="CL48" i="15" s="1"/>
  <c r="CJ47" i="15"/>
  <c r="CO60" i="15" a="1"/>
  <c r="CO60" i="15" s="1"/>
  <c r="CK60" i="15" a="1"/>
  <c r="CK60" i="15" s="1"/>
  <c r="CJ38" i="15"/>
  <c r="CL39" i="15" a="1"/>
  <c r="CL39" i="15" s="1"/>
  <c r="CP50" i="15"/>
  <c r="CJ50" i="15"/>
  <c r="CL63" i="15" a="1"/>
  <c r="CL63" i="15" s="1"/>
  <c r="CN63" i="15" a="1"/>
  <c r="CN63" i="15" s="1"/>
  <c r="AU53" i="15"/>
  <c r="AR54" i="15" a="1"/>
  <c r="AR54" i="15" s="1"/>
  <c r="AU65" i="15"/>
  <c r="AR66" i="15" a="1"/>
  <c r="AR66" i="15" s="1"/>
  <c r="AU56" i="15"/>
  <c r="AR57" i="15" a="1"/>
  <c r="AR57" i="15" s="1"/>
  <c r="AU68" i="15"/>
  <c r="AR69" i="15" a="1"/>
  <c r="AR69" i="15" s="1"/>
  <c r="AU80" i="15"/>
  <c r="AR81" i="15" a="1"/>
  <c r="AR81" i="15" s="1"/>
  <c r="AU35" i="15"/>
  <c r="AW35" i="15"/>
  <c r="AU47" i="15"/>
  <c r="AR48" i="15" a="1"/>
  <c r="AR48" i="15" s="1"/>
  <c r="AU59" i="15"/>
  <c r="AR60" i="15" a="1"/>
  <c r="AR60" i="15" s="1"/>
  <c r="AU71" i="15"/>
  <c r="AR72" i="15" a="1"/>
  <c r="AR72" i="15" s="1"/>
  <c r="AU41" i="15"/>
  <c r="AW42" i="15" a="1"/>
  <c r="AW42" i="15" s="1"/>
  <c r="AU77" i="15"/>
  <c r="AR77" i="15"/>
  <c r="AU44" i="15"/>
  <c r="AR45" i="15" a="1"/>
  <c r="AR45" i="15" s="1"/>
  <c r="AU38" i="15"/>
  <c r="AR39" i="15" a="1"/>
  <c r="AR39" i="15" s="1"/>
  <c r="AU50" i="15"/>
  <c r="AR51" i="15" a="1"/>
  <c r="AR51" i="15" s="1"/>
  <c r="AU62" i="15"/>
  <c r="AR63" i="15" a="1"/>
  <c r="AR63" i="15" s="1"/>
  <c r="AU74" i="15"/>
  <c r="AR75" i="15" a="1"/>
  <c r="AR75" i="15" s="1"/>
  <c r="CF41" i="15"/>
  <c r="CH42" i="15" a="1"/>
  <c r="CH42" i="15" s="1"/>
  <c r="CI53" i="15"/>
  <c r="CH65" i="15"/>
  <c r="CH66" i="15" a="1"/>
  <c r="CH66" i="15" s="1"/>
  <c r="CH77" i="15"/>
  <c r="CD78" i="15" a="1"/>
  <c r="CD78" i="15" s="1"/>
  <c r="CI44" i="15"/>
  <c r="CI45" i="15" a="1"/>
  <c r="CI45" i="15" s="1"/>
  <c r="CH56" i="15"/>
  <c r="CE57" i="15" a="1"/>
  <c r="CE57" i="15" s="1"/>
  <c r="CI56" i="15"/>
  <c r="CI68" i="15"/>
  <c r="CD69" i="15" a="1"/>
  <c r="CD69" i="15" s="1"/>
  <c r="CI80" i="15"/>
  <c r="CF81" i="15" a="1"/>
  <c r="CF81" i="15" s="1"/>
  <c r="CD35" i="15"/>
  <c r="CF35" i="15"/>
  <c r="CF47" i="15"/>
  <c r="CI47" i="15"/>
  <c r="CE48" i="15" a="1"/>
  <c r="CE48" i="15" s="1"/>
  <c r="CH60" i="15" a="1"/>
  <c r="CH60" i="15" s="1"/>
  <c r="CK80" i="15"/>
  <c r="CK71" i="15"/>
  <c r="CK74" i="15"/>
  <c r="CK68" i="15"/>
  <c r="CO65" i="15"/>
  <c r="CK77" i="15"/>
  <c r="CJ35" i="15"/>
  <c r="CO42" i="15" a="1"/>
  <c r="CO42" i="15" s="1"/>
  <c r="CP54" i="15" a="1"/>
  <c r="CP54" i="15" s="1"/>
  <c r="CK45" i="15" a="1"/>
  <c r="CK45" i="15" s="1"/>
  <c r="CJ57" i="15" a="1"/>
  <c r="CJ57" i="15" s="1"/>
  <c r="CL38" i="15"/>
  <c r="CJ62" i="15"/>
  <c r="AR53" i="15"/>
  <c r="AT65" i="15"/>
  <c r="AS57" i="15" a="1"/>
  <c r="AS57" i="15" s="1"/>
  <c r="AS69" i="15" a="1"/>
  <c r="AS69" i="15" s="1"/>
  <c r="AV80" i="15"/>
  <c r="AS36" i="15" a="1"/>
  <c r="AS36" i="15" s="1"/>
  <c r="AT47" i="15"/>
  <c r="AT59" i="15"/>
  <c r="AR71" i="15"/>
  <c r="AR41" i="15"/>
  <c r="AT77" i="15"/>
  <c r="AV44" i="15"/>
  <c r="AV38" i="15"/>
  <c r="AS51" i="15" a="1"/>
  <c r="AS51" i="15" s="1"/>
  <c r="AT62" i="15"/>
  <c r="AS75" i="15" a="1"/>
  <c r="AS75" i="15" s="1"/>
  <c r="CG54" i="15" a="1"/>
  <c r="CG54" i="15" s="1"/>
  <c r="CD66" i="15" a="1"/>
  <c r="CD66" i="15" s="1"/>
  <c r="CE78" i="15" a="1"/>
  <c r="CE78" i="15" s="1"/>
  <c r="CG45" i="15" a="1"/>
  <c r="CG45" i="15" s="1"/>
  <c r="CH57" i="15" a="1"/>
  <c r="CH57" i="15" s="1"/>
  <c r="CD68" i="15"/>
  <c r="CH80" i="15"/>
  <c r="CG35" i="15"/>
  <c r="CH35" i="15"/>
  <c r="CE47" i="15"/>
  <c r="CE60" i="15" a="1"/>
  <c r="CE60" i="15" s="1"/>
  <c r="CG71" i="15"/>
  <c r="CF72" i="15" a="1"/>
  <c r="CF72" i="15" s="1"/>
  <c r="CI38" i="15"/>
  <c r="CG51" i="15" a="1"/>
  <c r="CG51" i="15" s="1"/>
  <c r="CH50" i="15"/>
  <c r="CH62" i="15"/>
  <c r="CF63" i="15" a="1"/>
  <c r="CF63" i="15" s="1"/>
  <c r="CG74" i="15"/>
  <c r="AK53" i="15"/>
  <c r="AP53" i="15"/>
  <c r="AN53" i="15"/>
  <c r="AL77" i="15"/>
  <c r="AM77" i="15"/>
  <c r="AL78" i="15" a="1"/>
  <c r="AL78" i="15" s="1"/>
  <c r="AK44" i="15"/>
  <c r="AK45" i="15" a="1"/>
  <c r="AK45" i="15" s="1"/>
  <c r="AL45" i="15" a="1"/>
  <c r="AL45" i="15" s="1"/>
  <c r="AL56" i="15"/>
  <c r="AN56" i="15"/>
  <c r="AP57" i="15" a="1"/>
  <c r="AP57" i="15" s="1"/>
  <c r="AL68" i="15"/>
  <c r="AO69" i="15" a="1"/>
  <c r="AO69" i="15" s="1"/>
  <c r="AL69" i="15" a="1"/>
  <c r="AL69" i="15" s="1"/>
  <c r="AM80" i="15"/>
  <c r="AN80" i="15"/>
  <c r="AO81" i="15" a="1"/>
  <c r="AO81" i="15" s="1"/>
  <c r="AK35" i="15"/>
  <c r="AL35" i="15"/>
  <c r="AO36" i="15" a="1"/>
  <c r="AO36" i="15" s="1"/>
  <c r="AL47" i="15"/>
  <c r="AM47" i="15"/>
  <c r="AM48" i="15" a="1"/>
  <c r="AM48" i="15" s="1"/>
  <c r="AL59" i="15"/>
  <c r="AM59" i="15"/>
  <c r="AO60" i="15" a="1"/>
  <c r="AO60" i="15" s="1"/>
  <c r="AM71" i="15"/>
  <c r="AL71" i="15"/>
  <c r="AO71" i="15"/>
  <c r="AN41" i="15"/>
  <c r="AO41" i="15"/>
  <c r="AM41" i="15"/>
  <c r="AK65" i="15"/>
  <c r="AP65" i="15"/>
  <c r="AL66" i="15" a="1"/>
  <c r="AL66" i="15" s="1"/>
  <c r="AM38" i="15"/>
  <c r="AP39" i="15" a="1"/>
  <c r="AP39" i="15" s="1"/>
  <c r="AO39" i="15" a="1"/>
  <c r="AO39" i="15" s="1"/>
  <c r="AN50" i="15"/>
  <c r="AK50" i="15"/>
  <c r="AL50" i="15"/>
  <c r="AN62" i="15"/>
  <c r="AK62" i="15"/>
  <c r="AK63" i="15" a="1"/>
  <c r="AK63" i="15" s="1"/>
  <c r="AK74" i="15"/>
  <c r="AK75" i="15" a="1"/>
  <c r="AK75" i="15" s="1"/>
  <c r="AL75" i="15" a="1"/>
  <c r="AL75" i="15" s="1"/>
  <c r="BH53" i="15"/>
  <c r="BX53" i="15"/>
  <c r="BS54" i="15" a="1"/>
  <c r="BS54" i="15" s="1"/>
  <c r="BO53" i="15"/>
  <c r="BF54" i="15" a="1"/>
  <c r="BF54" i="15" s="1"/>
  <c r="BV54" i="15" a="1"/>
  <c r="BV54" i="15" s="1"/>
  <c r="BI54" i="15" a="1"/>
  <c r="BI54" i="15" s="1"/>
  <c r="BQ53" i="15"/>
  <c r="BX54" i="15" a="1"/>
  <c r="BX54" i="15" s="1"/>
  <c r="BM53" i="15"/>
  <c r="S53" i="15"/>
  <c r="AI53" i="15"/>
  <c r="Y54" i="15" a="1"/>
  <c r="Y54" i="15" s="1"/>
  <c r="BU54" i="15" a="1"/>
  <c r="BU54" i="15" s="1"/>
  <c r="AB53" i="15"/>
  <c r="T54" i="15" a="1"/>
  <c r="T54" i="15" s="1"/>
  <c r="AG54" i="15" a="1"/>
  <c r="AG54" i="15" s="1"/>
  <c r="Q54" i="15" a="1"/>
  <c r="Q54" i="15" s="1"/>
  <c r="AG53" i="15"/>
  <c r="N53" i="15"/>
  <c r="AE54" i="15" a="1"/>
  <c r="AE54" i="15" s="1"/>
  <c r="O54" i="15" a="1"/>
  <c r="O54" i="15" s="1"/>
  <c r="AI54" i="15" a="1"/>
  <c r="AI54" i="15" s="1"/>
  <c r="CC54" i="15" a="1"/>
  <c r="CC54" i="15" s="1"/>
  <c r="CA54" i="15" a="1"/>
  <c r="CA54" i="15" s="1"/>
  <c r="BL77" i="15"/>
  <c r="CB77" i="15"/>
  <c r="BO77" i="15"/>
  <c r="BG78" i="15" a="1"/>
  <c r="BG78" i="15" s="1"/>
  <c r="BO78" i="15" a="1"/>
  <c r="BO78" i="15" s="1"/>
  <c r="BW78" i="15" a="1"/>
  <c r="BW78" i="15" s="1"/>
  <c r="BI77" i="15"/>
  <c r="BJ78" i="15" a="1"/>
  <c r="BJ78" i="15" s="1"/>
  <c r="BM77" i="15"/>
  <c r="BR77" i="15"/>
  <c r="X77" i="15"/>
  <c r="M78" i="15" a="1"/>
  <c r="M78" i="15" s="1"/>
  <c r="AC78" i="15" a="1"/>
  <c r="AC78" i="15" s="1"/>
  <c r="AI78" i="15" a="1"/>
  <c r="AI78" i="15" s="1"/>
  <c r="Q77" i="15"/>
  <c r="AG77" i="15"/>
  <c r="Z78" i="15" a="1"/>
  <c r="Z78" i="15" s="1"/>
  <c r="BJ77" i="15"/>
  <c r="Z77" i="15"/>
  <c r="W78" i="15" a="1"/>
  <c r="W78" i="15" s="1"/>
  <c r="P78" i="15" a="1"/>
  <c r="P78" i="15" s="1"/>
  <c r="T78" i="15" a="1"/>
  <c r="T78" i="15" s="1"/>
  <c r="AE77" i="15"/>
  <c r="X78" i="15" a="1"/>
  <c r="X78" i="15" s="1"/>
  <c r="CA78" i="15" a="1"/>
  <c r="CA78" i="15" s="1"/>
  <c r="BP44" i="15"/>
  <c r="BH45" i="15" a="1"/>
  <c r="BH45" i="15" s="1"/>
  <c r="BP45" i="15" a="1"/>
  <c r="BP45" i="15" s="1"/>
  <c r="BX45" i="15" a="1"/>
  <c r="BX45" i="15" s="1"/>
  <c r="BU44" i="15"/>
  <c r="BR44" i="15"/>
  <c r="BU45" i="15" a="1"/>
  <c r="BU45" i="15" s="1"/>
  <c r="BV44" i="15"/>
  <c r="BG45" i="15" a="1"/>
  <c r="BG45" i="15" s="1"/>
  <c r="S44" i="15"/>
  <c r="AI44" i="15"/>
  <c r="X44" i="15"/>
  <c r="M45" i="15" a="1"/>
  <c r="M45" i="15" s="1"/>
  <c r="U45" i="15" a="1"/>
  <c r="U45" i="15" s="1"/>
  <c r="AC45" i="15" a="1"/>
  <c r="AC45" i="15" s="1"/>
  <c r="U44" i="15"/>
  <c r="V44" i="15"/>
  <c r="X45" i="15" a="1"/>
  <c r="X45" i="15" s="1"/>
  <c r="Y44" i="15"/>
  <c r="R45" i="15" a="1"/>
  <c r="R45" i="15" s="1"/>
  <c r="Z45" i="15" a="1"/>
  <c r="Z45" i="15" s="1"/>
  <c r="V45" i="15" a="1"/>
  <c r="V45" i="15" s="1"/>
  <c r="CA44" i="15"/>
  <c r="CB44" i="15"/>
  <c r="BZ45" i="15" a="1"/>
  <c r="BZ45" i="15" s="1"/>
  <c r="BU56" i="15"/>
  <c r="BT56" i="15"/>
  <c r="BJ57" i="15" a="1"/>
  <c r="BJ57" i="15" s="1"/>
  <c r="BR57" i="15" a="1"/>
  <c r="BR57" i="15" s="1"/>
  <c r="BK56" i="15"/>
  <c r="BI57" i="15" a="1"/>
  <c r="BI57" i="15" s="1"/>
  <c r="BG56" i="15"/>
  <c r="BO57" i="15" a="1"/>
  <c r="BO57" i="15" s="1"/>
  <c r="M56" i="15"/>
  <c r="AC56" i="15"/>
  <c r="X57" i="15" a="1"/>
  <c r="X57" i="15" s="1"/>
  <c r="N56" i="15"/>
  <c r="AD56" i="15"/>
  <c r="V57" i="15" a="1"/>
  <c r="V57" i="15" s="1"/>
  <c r="BO56" i="15"/>
  <c r="O57" i="15" a="1"/>
  <c r="O57" i="15" s="1"/>
  <c r="W56" i="15"/>
  <c r="BK57" i="15" a="1"/>
  <c r="BK57" i="15" s="1"/>
  <c r="AJ56" i="15"/>
  <c r="AB57" i="15" a="1"/>
  <c r="AB57" i="15" s="1"/>
  <c r="R57" i="15" a="1"/>
  <c r="R57" i="15" s="1"/>
  <c r="AI57" i="15" a="1"/>
  <c r="AI57" i="15" s="1"/>
  <c r="CB57" i="15" a="1"/>
  <c r="CB57" i="15" s="1"/>
  <c r="CC57" i="15" a="1"/>
  <c r="CC57" i="15" s="1"/>
  <c r="BF68" i="15"/>
  <c r="BV68" i="15"/>
  <c r="BQ69" i="15" a="1"/>
  <c r="BQ69" i="15" s="1"/>
  <c r="BQ68" i="15"/>
  <c r="BF69" i="15" a="1"/>
  <c r="BF69" i="15" s="1"/>
  <c r="BV69" i="15" a="1"/>
  <c r="BV69" i="15" s="1"/>
  <c r="BP69" i="15" a="1"/>
  <c r="BP69" i="15" s="1"/>
  <c r="CA68" i="15"/>
  <c r="BE69" i="15" a="1"/>
  <c r="BE69" i="15" s="1"/>
  <c r="BL68" i="15"/>
  <c r="BT68" i="15"/>
  <c r="AB68" i="15"/>
  <c r="O69" i="15" a="1"/>
  <c r="O69" i="15" s="1"/>
  <c r="W69" i="15" a="1"/>
  <c r="W69" i="15" s="1"/>
  <c r="AE69" i="15" a="1"/>
  <c r="AE69" i="15" s="1"/>
  <c r="AD68" i="15"/>
  <c r="AB69" i="15" a="1"/>
  <c r="AB69" i="15" s="1"/>
  <c r="U68" i="15"/>
  <c r="AI69" i="15" a="1"/>
  <c r="AI69" i="15" s="1"/>
  <c r="Z68" i="15"/>
  <c r="V69" i="15" a="1"/>
  <c r="V69" i="15" s="1"/>
  <c r="AA68" i="15"/>
  <c r="BO69" i="15" a="1"/>
  <c r="BO69" i="15" s="1"/>
  <c r="AE68" i="15"/>
  <c r="BZ69" i="15" a="1"/>
  <c r="BZ69" i="15" s="1"/>
  <c r="BM80" i="15"/>
  <c r="CC80" i="15"/>
  <c r="BS81" i="15" a="1"/>
  <c r="BS81" i="15" s="1"/>
  <c r="BT80" i="15"/>
  <c r="BO81" i="15" a="1"/>
  <c r="BO81" i="15" s="1"/>
  <c r="BV80" i="15"/>
  <c r="BT81" i="15" a="1"/>
  <c r="BT81" i="15" s="1"/>
  <c r="BG81" i="15" a="1"/>
  <c r="BG81" i="15" s="1"/>
  <c r="BR80" i="15"/>
  <c r="BX81" i="15" a="1"/>
  <c r="BX81" i="15" s="1"/>
  <c r="V80" i="15"/>
  <c r="N81" i="15" a="1"/>
  <c r="N81" i="15" s="1"/>
  <c r="V81" i="15" a="1"/>
  <c r="V81" i="15" s="1"/>
  <c r="AD81" i="15" a="1"/>
  <c r="AD81" i="15" s="1"/>
  <c r="P80" i="15"/>
  <c r="AF80" i="15"/>
  <c r="U81" i="15" a="1"/>
  <c r="U81" i="15" s="1"/>
  <c r="BS80" i="15"/>
  <c r="AA80" i="15"/>
  <c r="BM81" i="15" a="1"/>
  <c r="BM81" i="15" s="1"/>
  <c r="AA81" i="15" a="1"/>
  <c r="AA81" i="15" s="1"/>
  <c r="U80" i="15"/>
  <c r="M80" i="15"/>
  <c r="AI81" i="15" a="1"/>
  <c r="AI81" i="15" s="1"/>
  <c r="CC81" i="15" a="1"/>
  <c r="CC81" i="15" s="1"/>
  <c r="BQ35" i="15"/>
  <c r="BF36" i="15" a="1"/>
  <c r="BF36" i="15" s="1"/>
  <c r="BV36" i="15" a="1"/>
  <c r="BV36" i="15" s="1"/>
  <c r="BR35" i="15"/>
  <c r="BK36" i="15" a="1"/>
  <c r="BK36" i="15" s="1"/>
  <c r="BL35" i="15"/>
  <c r="BQ36" i="15" a="1"/>
  <c r="BQ36" i="15" s="1"/>
  <c r="BH36" i="15" a="1"/>
  <c r="BH36" i="15" s="1"/>
  <c r="BU36" i="15" a="1"/>
  <c r="BU36" i="15" s="1"/>
  <c r="U35" i="15"/>
  <c r="N36" i="15" a="1"/>
  <c r="N36" i="15" s="1"/>
  <c r="R35" i="15"/>
  <c r="Q36" i="15" a="1"/>
  <c r="Q36" i="15" s="1"/>
  <c r="AG36" i="15" a="1"/>
  <c r="AG36" i="15" s="1"/>
  <c r="Z35" i="15"/>
  <c r="X36" i="15" a="1"/>
  <c r="X36" i="15" s="1"/>
  <c r="N35" i="15"/>
  <c r="O36" i="15" a="1"/>
  <c r="O36" i="15" s="1"/>
  <c r="AJ36" i="15" a="1"/>
  <c r="AJ36" i="15" s="1"/>
  <c r="AA36" i="15" a="1"/>
  <c r="AA36" i="15" s="1"/>
  <c r="V36" i="15" a="1"/>
  <c r="V36" i="15" s="1"/>
  <c r="R36" i="15" a="1"/>
  <c r="R36" i="15" s="1"/>
  <c r="AF36" i="15" a="1"/>
  <c r="AF36" i="15" s="1"/>
  <c r="CC36" i="15" a="1"/>
  <c r="CC36" i="15" s="1"/>
  <c r="CA36" i="15" a="1"/>
  <c r="CA36" i="15" s="1"/>
  <c r="BR47" i="15"/>
  <c r="BM48" i="15" a="1"/>
  <c r="BM48" i="15" s="1"/>
  <c r="BK47" i="15"/>
  <c r="CC47" i="15"/>
  <c r="BR48" i="15" a="1"/>
  <c r="BR48" i="15" s="1"/>
  <c r="CA47" i="15"/>
  <c r="BH47" i="15"/>
  <c r="BO48" i="15" a="1"/>
  <c r="BO48" i="15" s="1"/>
  <c r="BE48" i="15" a="1"/>
  <c r="BE48" i="15" s="1"/>
  <c r="BT48" i="15" a="1"/>
  <c r="BT48" i="15" s="1"/>
  <c r="W47" i="15"/>
  <c r="S48" i="15" a="1"/>
  <c r="S48" i="15" s="1"/>
  <c r="AI48" i="15" a="1"/>
  <c r="AI48" i="15" s="1"/>
  <c r="AB47" i="15"/>
  <c r="P48" i="15" a="1"/>
  <c r="P48" i="15" s="1"/>
  <c r="AF48" i="15" a="1"/>
  <c r="AF48" i="15" s="1"/>
  <c r="AG47" i="15"/>
  <c r="AG48" i="15" a="1"/>
  <c r="AG48" i="15" s="1"/>
  <c r="Q48" i="15" a="1"/>
  <c r="Q48" i="15" s="1"/>
  <c r="AH47" i="15"/>
  <c r="L48" i="15" a="1"/>
  <c r="L48" i="15" s="1"/>
  <c r="R48" i="15" a="1"/>
  <c r="R48" i="15" s="1"/>
  <c r="X48" i="15" a="1"/>
  <c r="X48" i="15" s="1"/>
  <c r="BZ47" i="15"/>
  <c r="BG59" i="15"/>
  <c r="BW59" i="15"/>
  <c r="BN60" i="15" a="1"/>
  <c r="BN60" i="15" s="1"/>
  <c r="BN59" i="15"/>
  <c r="BJ60" i="15" a="1"/>
  <c r="BJ60" i="15" s="1"/>
  <c r="BQ59" i="15"/>
  <c r="BV60" i="15" a="1"/>
  <c r="BV60" i="15" s="1"/>
  <c r="BX59" i="15"/>
  <c r="BU59" i="15"/>
  <c r="BW60" i="15" a="1"/>
  <c r="BW60" i="15" s="1"/>
  <c r="S59" i="15"/>
  <c r="AI59" i="15"/>
  <c r="AB60" i="15" a="1"/>
  <c r="AB60" i="15" s="1"/>
  <c r="T59" i="15"/>
  <c r="BM59" i="15"/>
  <c r="P60" i="15" a="1"/>
  <c r="P60" i="15" s="1"/>
  <c r="AF60" i="15" a="1"/>
  <c r="AF60" i="15" s="1"/>
  <c r="BH60" i="15" a="1"/>
  <c r="BH60" i="15" s="1"/>
  <c r="M60" i="15" a="1"/>
  <c r="M60" i="15" s="1"/>
  <c r="L60" i="15" a="1"/>
  <c r="L60" i="15" s="1"/>
  <c r="AC59" i="15"/>
  <c r="N59" i="15"/>
  <c r="AI60" i="15" a="1"/>
  <c r="AI60" i="15" s="1"/>
  <c r="AD59" i="15"/>
  <c r="BZ60" i="15" a="1"/>
  <c r="BZ60" i="15" s="1"/>
  <c r="BM71" i="15"/>
  <c r="CC71" i="15"/>
  <c r="BH71" i="15"/>
  <c r="BX71" i="15"/>
  <c r="BP72" i="15" a="1"/>
  <c r="BP72" i="15" s="1"/>
  <c r="BX72" i="15" a="1"/>
  <c r="BX72" i="15" s="1"/>
  <c r="BG72" i="15" a="1"/>
  <c r="BG72" i="15" s="1"/>
  <c r="BV71" i="15"/>
  <c r="BW72" i="15" a="1"/>
  <c r="BW72" i="15" s="1"/>
  <c r="BU72" i="15" a="1"/>
  <c r="BU72" i="15" s="1"/>
  <c r="T71" i="15"/>
  <c r="AJ71" i="15"/>
  <c r="AA72" i="15" a="1"/>
  <c r="AA72" i="15" s="1"/>
  <c r="V71" i="15"/>
  <c r="U72" i="15" a="1"/>
  <c r="U72" i="15" s="1"/>
  <c r="U71" i="15"/>
  <c r="N72" i="15" a="1"/>
  <c r="N72" i="15" s="1"/>
  <c r="AB72" i="15" a="1"/>
  <c r="AB72" i="15" s="1"/>
  <c r="BG71" i="15"/>
  <c r="R72" i="15" a="1"/>
  <c r="R72" i="15" s="1"/>
  <c r="O71" i="15"/>
  <c r="J72" i="15" a="1"/>
  <c r="J72" i="15" s="1"/>
  <c r="AA71" i="15"/>
  <c r="Z72" i="15" a="1"/>
  <c r="Z72" i="15" s="1"/>
  <c r="BY72" i="15" a="1"/>
  <c r="BY72" i="15" s="1"/>
  <c r="BQ41" i="15"/>
  <c r="BF42" i="15" a="1"/>
  <c r="BF42" i="15" s="1"/>
  <c r="BV42" i="15" a="1"/>
  <c r="BV42" i="15" s="1"/>
  <c r="BR41" i="15"/>
  <c r="BK42" i="15" a="1"/>
  <c r="BK42" i="15" s="1"/>
  <c r="BL41" i="15"/>
  <c r="BQ42" i="15" a="1"/>
  <c r="BQ42" i="15" s="1"/>
  <c r="BH42" i="15" a="1"/>
  <c r="BH42" i="15" s="1"/>
  <c r="BX41" i="15"/>
  <c r="BW41" i="15"/>
  <c r="M41" i="15"/>
  <c r="AC41" i="15"/>
  <c r="V42" i="15" a="1"/>
  <c r="V42" i="15" s="1"/>
  <c r="BP41" i="15"/>
  <c r="Z41" i="15"/>
  <c r="S42" i="15" a="1"/>
  <c r="S42" i="15" s="1"/>
  <c r="AI42" i="15" a="1"/>
  <c r="AI42" i="15" s="1"/>
  <c r="P42" i="15" a="1"/>
  <c r="P42" i="15" s="1"/>
  <c r="O41" i="15"/>
  <c r="AJ42" i="15" a="1"/>
  <c r="AJ42" i="15" s="1"/>
  <c r="Q42" i="15" a="1"/>
  <c r="Q42" i="15" s="1"/>
  <c r="AB42" i="15" a="1"/>
  <c r="AB42" i="15" s="1"/>
  <c r="AF41" i="15"/>
  <c r="BZ42" i="15" a="1"/>
  <c r="BZ42" i="15" s="1"/>
  <c r="CA42" i="15" a="1"/>
  <c r="CA42" i="15" s="1"/>
  <c r="BU65" i="15"/>
  <c r="BL66" i="15" a="1"/>
  <c r="BL66" i="15" s="1"/>
  <c r="BX66" i="15" a="1"/>
  <c r="BX66" i="15" s="1"/>
  <c r="BP65" i="15"/>
  <c r="BI66" i="15" a="1"/>
  <c r="BI66" i="15" s="1"/>
  <c r="BG65" i="15"/>
  <c r="BQ66" i="15" a="1"/>
  <c r="BQ66" i="15" s="1"/>
  <c r="BZ65" i="15"/>
  <c r="BN65" i="15"/>
  <c r="BK65" i="15"/>
  <c r="AB65" i="15"/>
  <c r="P66" i="15" a="1"/>
  <c r="P66" i="15" s="1"/>
  <c r="AF66" i="15" a="1"/>
  <c r="AF66" i="15" s="1"/>
  <c r="V65" i="15"/>
  <c r="R66" i="15" a="1"/>
  <c r="R66" i="15" s="1"/>
  <c r="M65" i="15"/>
  <c r="AC65" i="15"/>
  <c r="T66" i="15" a="1"/>
  <c r="T66" i="15" s="1"/>
  <c r="L66" i="15" a="1"/>
  <c r="L66" i="15" s="1"/>
  <c r="BF65" i="15"/>
  <c r="AB66" i="15" a="1"/>
  <c r="AB66" i="15" s="1"/>
  <c r="AI65" i="15"/>
  <c r="O66" i="15" a="1"/>
  <c r="O66" i="15" s="1"/>
  <c r="CB66" i="15" a="1"/>
  <c r="CB66" i="15" s="1"/>
  <c r="BH38" i="15"/>
  <c r="BX38" i="15"/>
  <c r="BQ38" i="15"/>
  <c r="BF39" i="15" a="1"/>
  <c r="BF39" i="15" s="1"/>
  <c r="BN39" i="15" a="1"/>
  <c r="BN39" i="15" s="1"/>
  <c r="BV39" i="15" a="1"/>
  <c r="BV39" i="15" s="1"/>
  <c r="CA38" i="15"/>
  <c r="BS39" i="15" a="1"/>
  <c r="BS39" i="15" s="1"/>
  <c r="BZ38" i="15"/>
  <c r="BN38" i="15"/>
  <c r="N38" i="15"/>
  <c r="AD38" i="15"/>
  <c r="R39" i="15" a="1"/>
  <c r="R39" i="15" s="1"/>
  <c r="BF38" i="15"/>
  <c r="AC38" i="15"/>
  <c r="AI39" i="15" a="1"/>
  <c r="AI39" i="15" s="1"/>
  <c r="Y38" i="15"/>
  <c r="X39" i="15" a="1"/>
  <c r="X39" i="15" s="1"/>
  <c r="AF39" i="15" a="1"/>
  <c r="AF39" i="15" s="1"/>
  <c r="AF38" i="15"/>
  <c r="AA38" i="15"/>
  <c r="AG38" i="15"/>
  <c r="AH39" i="15" a="1"/>
  <c r="AH39" i="15" s="1"/>
  <c r="AE39" i="15" a="1"/>
  <c r="AE39" i="15" s="1"/>
  <c r="BZ39" i="15" a="1"/>
  <c r="BZ39" i="15" s="1"/>
  <c r="BK50" i="15"/>
  <c r="BH50" i="15"/>
  <c r="BX50" i="15"/>
  <c r="BR50" i="15"/>
  <c r="BT51" i="15" a="1"/>
  <c r="BT51" i="15" s="1"/>
  <c r="BN51" i="15" a="1"/>
  <c r="BN51" i="15" s="1"/>
  <c r="BV50" i="15"/>
  <c r="BJ51" i="15" a="1"/>
  <c r="BJ51" i="15" s="1"/>
  <c r="BW51" i="15" a="1"/>
  <c r="BW51" i="15" s="1"/>
  <c r="W50" i="15"/>
  <c r="O51" i="15" a="1"/>
  <c r="O51" i="15" s="1"/>
  <c r="AE51" i="15" a="1"/>
  <c r="AE51" i="15" s="1"/>
  <c r="T50" i="15"/>
  <c r="AJ50" i="15"/>
  <c r="X51" i="15" a="1"/>
  <c r="X51" i="15" s="1"/>
  <c r="BX51" i="15" a="1"/>
  <c r="BX51" i="15" s="1"/>
  <c r="V51" i="15" a="1"/>
  <c r="V51" i="15" s="1"/>
  <c r="J51" i="15" a="1"/>
  <c r="J51" i="15" s="1"/>
  <c r="AD50" i="15"/>
  <c r="BN50" i="15"/>
  <c r="S51" i="15" a="1"/>
  <c r="S51" i="15" s="1"/>
  <c r="BR51" i="15" a="1"/>
  <c r="BR51" i="15" s="1"/>
  <c r="BY51" i="15" a="1"/>
  <c r="BY51" i="15" s="1"/>
  <c r="BZ51" i="15" a="1"/>
  <c r="BZ51" i="15" s="1"/>
  <c r="BY50" i="15"/>
  <c r="BQ62" i="15"/>
  <c r="BF63" i="15" a="1"/>
  <c r="BF63" i="15" s="1"/>
  <c r="BL62" i="15"/>
  <c r="BI63" i="15" a="1"/>
  <c r="BI63" i="15" s="1"/>
  <c r="BV62" i="15"/>
  <c r="BO63" i="15" a="1"/>
  <c r="BO63" i="15" s="1"/>
  <c r="BW63" i="15" a="1"/>
  <c r="BW63" i="15" s="1"/>
  <c r="BH62" i="15"/>
  <c r="BV63" i="15" a="1"/>
  <c r="BV63" i="15" s="1"/>
  <c r="BX63" i="15" a="1"/>
  <c r="BX63" i="15" s="1"/>
  <c r="T62" i="15"/>
  <c r="AJ62" i="15"/>
  <c r="S63" i="15" a="1"/>
  <c r="S63" i="15" s="1"/>
  <c r="AA63" i="15" a="1"/>
  <c r="AA63" i="15" s="1"/>
  <c r="R62" i="15"/>
  <c r="R63" i="15" a="1"/>
  <c r="R63" i="15" s="1"/>
  <c r="BX62" i="15"/>
  <c r="U62" i="15"/>
  <c r="AI63" i="15" a="1"/>
  <c r="AI63" i="15" s="1"/>
  <c r="AD62" i="15"/>
  <c r="Z63" i="15" a="1"/>
  <c r="Z63" i="15" s="1"/>
  <c r="AI62" i="15"/>
  <c r="AE62" i="15"/>
  <c r="CA63" i="15" a="1"/>
  <c r="CA63" i="15" s="1"/>
  <c r="BY63" i="15" a="1"/>
  <c r="BY63" i="15" s="1"/>
  <c r="BS74" i="15"/>
  <c r="BM75" i="15" a="1"/>
  <c r="BM75" i="15" s="1"/>
  <c r="BJ74" i="15"/>
  <c r="BZ74" i="15"/>
  <c r="BT75" i="15" a="1"/>
  <c r="BT75" i="15" s="1"/>
  <c r="BY74" i="15"/>
  <c r="BL74" i="15"/>
  <c r="BS75" i="15" a="1"/>
  <c r="BS75" i="15" s="1"/>
  <c r="BK75" i="15" a="1"/>
  <c r="BK75" i="15" s="1"/>
  <c r="BE75" i="15" a="1"/>
  <c r="BE75" i="15" s="1"/>
  <c r="X74" i="15"/>
  <c r="M75" i="15" a="1"/>
  <c r="M75" i="15" s="1"/>
  <c r="U75" i="15" a="1"/>
  <c r="U75" i="15" s="1"/>
  <c r="AC75" i="15" a="1"/>
  <c r="AC75" i="15" s="1"/>
  <c r="P75" i="15" a="1"/>
  <c r="P75" i="15" s="1"/>
  <c r="AD75" i="15" a="1"/>
  <c r="AD75" i="15" s="1"/>
  <c r="U74" i="15"/>
  <c r="AI75" i="15" a="1"/>
  <c r="AI75" i="15" s="1"/>
  <c r="V74" i="15"/>
  <c r="N75" i="15" a="1"/>
  <c r="N75" i="15" s="1"/>
  <c r="AF75" i="15" a="1"/>
  <c r="AF75" i="15" s="1"/>
  <c r="AE74" i="15"/>
  <c r="S74" i="15"/>
  <c r="BZ75" i="15" a="1"/>
  <c r="BZ75" i="15" s="1"/>
  <c r="CK81" i="15" a="1"/>
  <c r="CK81" i="15" s="1"/>
  <c r="CN72" i="15" a="1"/>
  <c r="CN72" i="15" s="1"/>
  <c r="CN75" i="15" a="1"/>
  <c r="CN75" i="15" s="1"/>
  <c r="CO69" i="15" a="1"/>
  <c r="CO69" i="15" s="1"/>
  <c r="CN66" i="15" a="1"/>
  <c r="CN66" i="15" s="1"/>
  <c r="CP78" i="15" a="1"/>
  <c r="CP78" i="15" s="1"/>
  <c r="CO36" i="15" a="1"/>
  <c r="CO36" i="15" s="1"/>
  <c r="CK42" i="15" a="1"/>
  <c r="CK42" i="15" s="1"/>
  <c r="CL53" i="15"/>
  <c r="CM44" i="15"/>
  <c r="CN56" i="15"/>
  <c r="CN48" i="15" a="1"/>
  <c r="CN48" i="15" s="1"/>
  <c r="CL60" i="15" a="1"/>
  <c r="CL60" i="15" s="1"/>
  <c r="CN39" i="15" a="1"/>
  <c r="CN39" i="15" s="1"/>
  <c r="CM51" i="15" a="1"/>
  <c r="CM51" i="15" s="1"/>
  <c r="CJ63" i="15" a="1"/>
  <c r="CJ63" i="15" s="1"/>
  <c r="AQ54" i="15" a="1"/>
  <c r="AQ54" i="15" s="1"/>
  <c r="AQ66" i="15" a="1"/>
  <c r="AQ66" i="15" s="1"/>
  <c r="AQ57" i="15" a="1"/>
  <c r="AQ57" i="15" s="1"/>
  <c r="AQ69" i="15" a="1"/>
  <c r="AQ69" i="15" s="1"/>
  <c r="AQ81" i="15" a="1"/>
  <c r="AQ81" i="15" s="1"/>
  <c r="AQ36" i="15" a="1"/>
  <c r="AQ36" i="15" s="1"/>
  <c r="AQ48" i="15" a="1"/>
  <c r="AQ48" i="15" s="1"/>
  <c r="AQ60" i="15" a="1"/>
  <c r="AQ60" i="15" s="1"/>
  <c r="AQ72" i="15" a="1"/>
  <c r="AQ72" i="15" s="1"/>
  <c r="AQ42" i="15" a="1"/>
  <c r="AQ42" i="15" s="1"/>
  <c r="AQ78" i="15" a="1"/>
  <c r="AQ78" i="15" s="1"/>
  <c r="AQ45" i="15" a="1"/>
  <c r="AQ45" i="15" s="1"/>
  <c r="AQ39" i="15" a="1"/>
  <c r="AQ39" i="15" s="1"/>
  <c r="AQ51" i="15" a="1"/>
  <c r="AQ51" i="15" s="1"/>
  <c r="AQ63" i="15" a="1"/>
  <c r="AQ63" i="15" s="1"/>
  <c r="AQ75" i="15" a="1"/>
  <c r="AQ75" i="15" s="1"/>
  <c r="CF42" i="15" a="1"/>
  <c r="CF42" i="15" s="1"/>
  <c r="CG53" i="15"/>
  <c r="CI66" i="15" a="1"/>
  <c r="CI66" i="15" s="1"/>
  <c r="CF78" i="15" a="1"/>
  <c r="CF78" i="15" s="1"/>
  <c r="CF45" i="15" a="1"/>
  <c r="CF45" i="15" s="1"/>
  <c r="CD57" i="15" a="1"/>
  <c r="CD57" i="15" s="1"/>
  <c r="CG69" i="15" a="1"/>
  <c r="CG69" i="15" s="1"/>
  <c r="CG80" i="15"/>
  <c r="CH36" i="15" a="1"/>
  <c r="CH36" i="15" s="1"/>
  <c r="CH47" i="15"/>
  <c r="CH59" i="15"/>
  <c r="CI59" i="15"/>
  <c r="CI71" i="15"/>
  <c r="CG38" i="15"/>
  <c r="CF39" i="15" a="1"/>
  <c r="CF39" i="15" s="1"/>
  <c r="CH51" i="15" a="1"/>
  <c r="CH51" i="15" s="1"/>
  <c r="CD51" i="15" a="1"/>
  <c r="CD51" i="15" s="1"/>
  <c r="CI62" i="15"/>
  <c r="CE63" i="15" a="1"/>
  <c r="CE63" i="15" s="1"/>
  <c r="CH75" i="15" a="1"/>
  <c r="CH75" i="15" s="1"/>
  <c r="AO53" i="15"/>
  <c r="AK54" i="15" a="1"/>
  <c r="AK54" i="15" s="1"/>
  <c r="AL54" i="15" a="1"/>
  <c r="AL54" i="15" s="1"/>
  <c r="AP77" i="15"/>
  <c r="AK77" i="15"/>
  <c r="AN77" i="15"/>
  <c r="AO44" i="15"/>
  <c r="AM45" i="15" a="1"/>
  <c r="AM45" i="15" s="1"/>
  <c r="AN44" i="15"/>
  <c r="AP56" i="15"/>
  <c r="AM57" i="15" a="1"/>
  <c r="AM57" i="15" s="1"/>
  <c r="AO56" i="15"/>
  <c r="AP68" i="15"/>
  <c r="AM68" i="15"/>
  <c r="AN69" i="15" a="1"/>
  <c r="AN69" i="15" s="1"/>
  <c r="AK80" i="15"/>
  <c r="AM81" i="15" a="1"/>
  <c r="AM81" i="15" s="1"/>
  <c r="AP81" i="15" a="1"/>
  <c r="AP81" i="15" s="1"/>
  <c r="AO35" i="15"/>
  <c r="AP35" i="15"/>
  <c r="AN35" i="15"/>
  <c r="AP47" i="15"/>
  <c r="AL48" i="15" a="1"/>
  <c r="AL48" i="15" s="1"/>
  <c r="AK47" i="15"/>
  <c r="AP59" i="15"/>
  <c r="AL60" i="15" a="1"/>
  <c r="AL60" i="15" s="1"/>
  <c r="AK59" i="15"/>
  <c r="AL72" i="15" a="1"/>
  <c r="AL72" i="15" s="1"/>
  <c r="AK72" i="15" a="1"/>
  <c r="AK72" i="15" s="1"/>
  <c r="AM72" i="15" a="1"/>
  <c r="AM72" i="15" s="1"/>
  <c r="AL42" i="15" a="1"/>
  <c r="AL42" i="15" s="1"/>
  <c r="AM42" i="15" a="1"/>
  <c r="AM42" i="15" s="1"/>
  <c r="AK42" i="15" a="1"/>
  <c r="AK42" i="15" s="1"/>
  <c r="AO65" i="15"/>
  <c r="AK66" i="15" a="1"/>
  <c r="AK66" i="15" s="1"/>
  <c r="AO66" i="15" a="1"/>
  <c r="AO66" i="15" s="1"/>
  <c r="AN38" i="15"/>
  <c r="AK38" i="15"/>
  <c r="AM39" i="15" a="1"/>
  <c r="AM39" i="15" s="1"/>
  <c r="AL51" i="15" a="1"/>
  <c r="AL51" i="15" s="1"/>
  <c r="AO50" i="15"/>
  <c r="AO51" i="15" a="1"/>
  <c r="AO51" i="15" s="1"/>
  <c r="AL63" i="15" a="1"/>
  <c r="AL63" i="15" s="1"/>
  <c r="AO62" i="15"/>
  <c r="AO63" i="15" a="1"/>
  <c r="AO63" i="15" s="1"/>
  <c r="AO74" i="15"/>
  <c r="AM75" i="15" a="1"/>
  <c r="AM75" i="15" s="1"/>
  <c r="AP75" i="15" a="1"/>
  <c r="AP75" i="15" s="1"/>
  <c r="BL53" i="15"/>
  <c r="BG54" i="15" a="1"/>
  <c r="BG54" i="15" s="1"/>
  <c r="BW54" i="15" a="1"/>
  <c r="BW54" i="15" s="1"/>
  <c r="BS53" i="15"/>
  <c r="BJ54" i="15" a="1"/>
  <c r="BJ54" i="15" s="1"/>
  <c r="BJ53" i="15"/>
  <c r="BQ54" i="15" a="1"/>
  <c r="BQ54" i="15" s="1"/>
  <c r="CA53" i="15"/>
  <c r="BF53" i="15"/>
  <c r="BT54" i="15" a="1"/>
  <c r="BT54" i="15" s="1"/>
  <c r="W53" i="15"/>
  <c r="P54" i="15" a="1"/>
  <c r="P54" i="15" s="1"/>
  <c r="AF54" i="15" a="1"/>
  <c r="AF54" i="15" s="1"/>
  <c r="P53" i="15"/>
  <c r="AF53" i="15"/>
  <c r="W54" i="15" a="1"/>
  <c r="W54" i="15" s="1"/>
  <c r="M53" i="15"/>
  <c r="X54" i="15" a="1"/>
  <c r="X54" i="15" s="1"/>
  <c r="AA54" i="15" a="1"/>
  <c r="AA54" i="15" s="1"/>
  <c r="V53" i="15"/>
  <c r="Y53" i="15"/>
  <c r="R53" i="15"/>
  <c r="L54" i="15" a="1"/>
  <c r="L54" i="15" s="1"/>
  <c r="BY54" i="15" a="1"/>
  <c r="BY54" i="15" s="1"/>
  <c r="BZ53" i="15"/>
  <c r="BP77" i="15"/>
  <c r="BE78" i="15" a="1"/>
  <c r="BE78" i="15" s="1"/>
  <c r="BS77" i="15"/>
  <c r="BI78" i="15" a="1"/>
  <c r="BI78" i="15" s="1"/>
  <c r="BQ78" i="15" a="1"/>
  <c r="BQ78" i="15" s="1"/>
  <c r="BF77" i="15"/>
  <c r="BQ77" i="15"/>
  <c r="BN78" i="15" a="1"/>
  <c r="BN78" i="15" s="1"/>
  <c r="CC77" i="15"/>
  <c r="BZ77" i="15"/>
  <c r="AB77" i="15"/>
  <c r="Q78" i="15" a="1"/>
  <c r="Q78" i="15" s="1"/>
  <c r="AG78" i="15" a="1"/>
  <c r="AG78" i="15" s="1"/>
  <c r="BH78" i="15" a="1"/>
  <c r="BH78" i="15" s="1"/>
  <c r="U77" i="15"/>
  <c r="N78" i="15" a="1"/>
  <c r="N78" i="15" s="1"/>
  <c r="AD78" i="15" a="1"/>
  <c r="AD78" i="15" s="1"/>
  <c r="N77" i="15"/>
  <c r="AD77" i="15"/>
  <c r="AE78" i="15" a="1"/>
  <c r="AE78" i="15" s="1"/>
  <c r="AF78" i="15" a="1"/>
  <c r="AF78" i="15" s="1"/>
  <c r="W77" i="15"/>
  <c r="AJ78" i="15" a="1"/>
  <c r="AJ78" i="15" s="1"/>
  <c r="CB78" i="15" a="1"/>
  <c r="CB78" i="15" s="1"/>
  <c r="CC78" i="15" a="1"/>
  <c r="CC78" i="15" s="1"/>
  <c r="BT44" i="15"/>
  <c r="BJ45" i="15" a="1"/>
  <c r="BJ45" i="15" s="1"/>
  <c r="BR45" i="15" a="1"/>
  <c r="BR45" i="15" s="1"/>
  <c r="BI44" i="15"/>
  <c r="BK44" i="15"/>
  <c r="BI45" i="15" a="1"/>
  <c r="BI45" i="15" s="1"/>
  <c r="BG44" i="15"/>
  <c r="BK45" i="15" a="1"/>
  <c r="BK45" i="15" s="1"/>
  <c r="BW45" i="15" a="1"/>
  <c r="BW45" i="15" s="1"/>
  <c r="W44" i="15"/>
  <c r="AG45" i="15" a="1"/>
  <c r="AG45" i="15" s="1"/>
  <c r="AB44" i="15"/>
  <c r="O45" i="15" a="1"/>
  <c r="O45" i="15" s="1"/>
  <c r="W45" i="15" a="1"/>
  <c r="W45" i="15" s="1"/>
  <c r="AE45" i="15" a="1"/>
  <c r="AE45" i="15" s="1"/>
  <c r="AC44" i="15"/>
  <c r="AD44" i="15"/>
  <c r="AB45" i="15" a="1"/>
  <c r="AB45" i="15" s="1"/>
  <c r="AG44" i="15"/>
  <c r="AJ45" i="15" a="1"/>
  <c r="AJ45" i="15" s="1"/>
  <c r="N45" i="15" a="1"/>
  <c r="N45" i="15" s="1"/>
  <c r="BO45" i="15" a="1"/>
  <c r="BO45" i="15" s="1"/>
  <c r="BY44" i="15"/>
  <c r="CB45" i="15" a="1"/>
  <c r="CB45" i="15" s="1"/>
  <c r="BI56" i="15"/>
  <c r="BH56" i="15"/>
  <c r="BX56" i="15"/>
  <c r="BL57" i="15" a="1"/>
  <c r="BL57" i="15" s="1"/>
  <c r="BT57" i="15" a="1"/>
  <c r="BT57" i="15" s="1"/>
  <c r="BS56" i="15"/>
  <c r="BM57" i="15" a="1"/>
  <c r="BM57" i="15" s="1"/>
  <c r="BW56" i="15"/>
  <c r="BW57" i="15" a="1"/>
  <c r="BW57" i="15" s="1"/>
  <c r="Q56" i="15"/>
  <c r="AG56" i="15"/>
  <c r="AA57" i="15" a="1"/>
  <c r="AA57" i="15" s="1"/>
  <c r="R56" i="15"/>
  <c r="AH56" i="15"/>
  <c r="Y57" i="15" a="1"/>
  <c r="Y57" i="15" s="1"/>
  <c r="S56" i="15"/>
  <c r="T57" i="15" a="1"/>
  <c r="T57" i="15" s="1"/>
  <c r="AE56" i="15"/>
  <c r="BE57" i="15" a="1"/>
  <c r="BE57" i="15" s="1"/>
  <c r="U57" i="15" a="1"/>
  <c r="U57" i="15" s="1"/>
  <c r="L57" i="15" a="1"/>
  <c r="L57" i="15" s="1"/>
  <c r="AF56" i="15"/>
  <c r="X56" i="15"/>
  <c r="CA56" i="15"/>
  <c r="CA57" i="15" a="1"/>
  <c r="CA57" i="15" s="1"/>
  <c r="BJ68" i="15"/>
  <c r="BZ68" i="15"/>
  <c r="BT69" i="15" a="1"/>
  <c r="BT69" i="15" s="1"/>
  <c r="BU68" i="15"/>
  <c r="BK69" i="15" a="1"/>
  <c r="BK69" i="15" s="1"/>
  <c r="BH68" i="15"/>
  <c r="BU69" i="15" a="1"/>
  <c r="BU69" i="15" s="1"/>
  <c r="BG69" i="15" a="1"/>
  <c r="BG69" i="15" s="1"/>
  <c r="BG68" i="15"/>
  <c r="CB68" i="15"/>
  <c r="P68" i="15"/>
  <c r="AF68" i="15"/>
  <c r="Q69" i="15" a="1"/>
  <c r="Q69" i="15" s="1"/>
  <c r="Y69" i="15" a="1"/>
  <c r="Y69" i="15" s="1"/>
  <c r="AH69" i="15" a="1"/>
  <c r="AH69" i="15" s="1"/>
  <c r="P69" i="15" a="1"/>
  <c r="P69" i="15" s="1"/>
  <c r="AF69" i="15" a="1"/>
  <c r="AF69" i="15" s="1"/>
  <c r="Y68" i="15"/>
  <c r="J69" i="15" a="1"/>
  <c r="J69" i="15" s="1"/>
  <c r="AH68" i="15"/>
  <c r="Z69" i="15" a="1"/>
  <c r="Z69" i="15" s="1"/>
  <c r="BO68" i="15"/>
  <c r="W68" i="15"/>
  <c r="AG69" i="15" a="1"/>
  <c r="AG69" i="15" s="1"/>
  <c r="CC69" i="15" a="1"/>
  <c r="CC69" i="15" s="1"/>
  <c r="BQ80" i="15"/>
  <c r="BF81" i="15" a="1"/>
  <c r="BF81" i="15" s="1"/>
  <c r="BV81" i="15" a="1"/>
  <c r="BV81" i="15" s="1"/>
  <c r="BZ80" i="15"/>
  <c r="BF80" i="15"/>
  <c r="CA80" i="15"/>
  <c r="BW81" i="15" a="1"/>
  <c r="BW81" i="15" s="1"/>
  <c r="BU81" i="15" a="1"/>
  <c r="BU81" i="15" s="1"/>
  <c r="CB80" i="15"/>
  <c r="BL80" i="15"/>
  <c r="Z80" i="15"/>
  <c r="P81" i="15" a="1"/>
  <c r="P81" i="15" s="1"/>
  <c r="X81" i="15" a="1"/>
  <c r="X81" i="15" s="1"/>
  <c r="AF81" i="15" a="1"/>
  <c r="AF81" i="15" s="1"/>
  <c r="T80" i="15"/>
  <c r="AJ80" i="15"/>
  <c r="Y81" i="15" a="1"/>
  <c r="Y81" i="15" s="1"/>
  <c r="O80" i="15"/>
  <c r="AE80" i="15"/>
  <c r="O81" i="15" a="1"/>
  <c r="O81" i="15" s="1"/>
  <c r="AE81" i="15" a="1"/>
  <c r="AE81" i="15" s="1"/>
  <c r="Y80" i="15"/>
  <c r="AC80" i="15"/>
  <c r="CA81" i="15" a="1"/>
  <c r="CA81" i="15" s="1"/>
  <c r="CB81" i="15" a="1"/>
  <c r="CB81" i="15" s="1"/>
  <c r="BU35" i="15"/>
  <c r="BJ36" i="15" a="1"/>
  <c r="BJ36" i="15" s="1"/>
  <c r="BF35" i="15"/>
  <c r="BV35" i="15"/>
  <c r="BO36" i="15" a="1"/>
  <c r="BO36" i="15" s="1"/>
  <c r="BT35" i="15"/>
  <c r="BK35" i="15"/>
  <c r="BP36" i="15" a="1"/>
  <c r="BP36" i="15" s="1"/>
  <c r="BE36" i="15" a="1"/>
  <c r="BE36" i="15" s="1"/>
  <c r="Y35" i="15"/>
  <c r="BO35" i="15"/>
  <c r="W35" i="15"/>
  <c r="U36" i="15" a="1"/>
  <c r="U36" i="15" s="1"/>
  <c r="BG35" i="15"/>
  <c r="AF35" i="15"/>
  <c r="AD36" i="15" a="1"/>
  <c r="AD36" i="15" s="1"/>
  <c r="T35" i="15"/>
  <c r="T36" i="15" a="1"/>
  <c r="T36" i="15" s="1"/>
  <c r="O35" i="15"/>
  <c r="J36" i="15" a="1"/>
  <c r="J36" i="15" s="1"/>
  <c r="BW35" i="15"/>
  <c r="AB36" i="15" a="1"/>
  <c r="AB36" i="15" s="1"/>
  <c r="AH36" i="15" a="1"/>
  <c r="AH36" i="15" s="1"/>
  <c r="BY36" i="15" a="1"/>
  <c r="BY36" i="15" s="1"/>
  <c r="BF47" i="15"/>
  <c r="BV47" i="15"/>
  <c r="BQ48" i="15" a="1"/>
  <c r="BQ48" i="15" s="1"/>
  <c r="BO47" i="15"/>
  <c r="BF48" i="15" a="1"/>
  <c r="BF48" i="15" s="1"/>
  <c r="BV48" i="15" a="1"/>
  <c r="BV48" i="15" s="1"/>
  <c r="BH48" i="15" a="1"/>
  <c r="BH48" i="15" s="1"/>
  <c r="BP47" i="15"/>
  <c r="BW48" i="15" a="1"/>
  <c r="BW48" i="15" s="1"/>
  <c r="BT47" i="15"/>
  <c r="BL47" i="15"/>
  <c r="AA47" i="15"/>
  <c r="V48" i="15" a="1"/>
  <c r="V48" i="15" s="1"/>
  <c r="P47" i="15"/>
  <c r="AF47" i="15"/>
  <c r="W48" i="15" a="1"/>
  <c r="W48" i="15" s="1"/>
  <c r="AJ48" i="15" a="1"/>
  <c r="AJ48" i="15" s="1"/>
  <c r="N48" i="15" a="1"/>
  <c r="N48" i="15" s="1"/>
  <c r="M47" i="15"/>
  <c r="BS48" i="15" a="1"/>
  <c r="BS48" i="15" s="1"/>
  <c r="O48" i="15" a="1"/>
  <c r="O48" i="15" s="1"/>
  <c r="AD48" i="15" a="1"/>
  <c r="AD48" i="15" s="1"/>
  <c r="AD47" i="15"/>
  <c r="BY47" i="15"/>
  <c r="BZ48" i="15" a="1"/>
  <c r="BZ48" i="15" s="1"/>
  <c r="BK59" i="15"/>
  <c r="CA59" i="15"/>
  <c r="BT60" i="15" a="1"/>
  <c r="BT60" i="15" s="1"/>
  <c r="BR59" i="15"/>
  <c r="BM60" i="15" a="1"/>
  <c r="BM60" i="15" s="1"/>
  <c r="BY59" i="15"/>
  <c r="BE60" i="15" a="1"/>
  <c r="BE60" i="15" s="1"/>
  <c r="BL60" i="15" a="1"/>
  <c r="BL60" i="15" s="1"/>
  <c r="BI60" i="15" a="1"/>
  <c r="BI60" i="15" s="1"/>
  <c r="BT59" i="15"/>
  <c r="W59" i="15"/>
  <c r="O60" i="15" a="1"/>
  <c r="O60" i="15" s="1"/>
  <c r="CC59" i="15"/>
  <c r="X59" i="15"/>
  <c r="Q59" i="15"/>
  <c r="T60" i="15" a="1"/>
  <c r="T60" i="15" s="1"/>
  <c r="AJ60" i="15" a="1"/>
  <c r="AJ60" i="15" s="1"/>
  <c r="R59" i="15"/>
  <c r="Q60" i="15" a="1"/>
  <c r="Q60" i="15" s="1"/>
  <c r="BO60" i="15" a="1"/>
  <c r="BO60" i="15" s="1"/>
  <c r="AJ59" i="15"/>
  <c r="N60" i="15" a="1"/>
  <c r="N60" i="15" s="1"/>
  <c r="J60" i="15" a="1"/>
  <c r="J60" i="15" s="1"/>
  <c r="W60" i="15" a="1"/>
  <c r="W60" i="15" s="1"/>
  <c r="CA60" i="15" a="1"/>
  <c r="CA60" i="15" s="1"/>
  <c r="BQ71" i="15"/>
  <c r="BF72" i="15" a="1"/>
  <c r="BF72" i="15" s="1"/>
  <c r="BL71" i="15"/>
  <c r="CB71" i="15"/>
  <c r="BR72" i="15" a="1"/>
  <c r="BR72" i="15" s="1"/>
  <c r="BK71" i="15"/>
  <c r="BM72" i="15" a="1"/>
  <c r="BM72" i="15" s="1"/>
  <c r="BI72" i="15" a="1"/>
  <c r="BI72" i="15" s="1"/>
  <c r="BJ71" i="15"/>
  <c r="BO71" i="15"/>
  <c r="X71" i="15"/>
  <c r="M72" i="15" a="1"/>
  <c r="M72" i="15" s="1"/>
  <c r="AE72" i="15" a="1"/>
  <c r="AE72" i="15" s="1"/>
  <c r="Z71" i="15"/>
  <c r="AC72" i="15" a="1"/>
  <c r="AC72" i="15" s="1"/>
  <c r="Y71" i="15"/>
  <c r="Q72" i="15" a="1"/>
  <c r="Q72" i="15" s="1"/>
  <c r="AF72" i="15" a="1"/>
  <c r="AF72" i="15" s="1"/>
  <c r="BJ72" i="15" a="1"/>
  <c r="BJ72" i="15" s="1"/>
  <c r="Y72" i="15" a="1"/>
  <c r="Y72" i="15" s="1"/>
  <c r="AE71" i="15"/>
  <c r="S71" i="15"/>
  <c r="AD72" i="15" a="1"/>
  <c r="AD72" i="15" s="1"/>
  <c r="CA72" i="15" a="1"/>
  <c r="CA72" i="15" s="1"/>
  <c r="BZ72" i="15" a="1"/>
  <c r="BZ72" i="15" s="1"/>
  <c r="BU41" i="15"/>
  <c r="BJ42" i="15" a="1"/>
  <c r="BJ42" i="15" s="1"/>
  <c r="BF41" i="15"/>
  <c r="BV41" i="15"/>
  <c r="BO42" i="15" a="1"/>
  <c r="BO42" i="15" s="1"/>
  <c r="BT41" i="15"/>
  <c r="BK41" i="15"/>
  <c r="BP42" i="15" a="1"/>
  <c r="BP42" i="15" s="1"/>
  <c r="BM42" i="15" a="1"/>
  <c r="BM42" i="15" s="1"/>
  <c r="BL42" i="15" a="1"/>
  <c r="BL42" i="15" s="1"/>
  <c r="Q41" i="15"/>
  <c r="AG41" i="15"/>
  <c r="Z42" i="15" a="1"/>
  <c r="Z42" i="15" s="1"/>
  <c r="N41" i="15"/>
  <c r="AD41" i="15"/>
  <c r="W42" i="15" a="1"/>
  <c r="W42" i="15" s="1"/>
  <c r="S41" i="15"/>
  <c r="X42" i="15" a="1"/>
  <c r="X42" i="15" s="1"/>
  <c r="W41" i="15"/>
  <c r="T41" i="15"/>
  <c r="Y42" i="15" a="1"/>
  <c r="Y42" i="15" s="1"/>
  <c r="M42" i="15" a="1"/>
  <c r="M42" i="15" s="1"/>
  <c r="X41" i="15"/>
  <c r="CC42" i="15" a="1"/>
  <c r="CC42" i="15" s="1"/>
  <c r="BI65" i="15"/>
  <c r="BY65" i="15"/>
  <c r="BO66" i="15" a="1"/>
  <c r="BO66" i="15" s="1"/>
  <c r="BE66" i="15" a="1"/>
  <c r="BE66" i="15" s="1"/>
  <c r="BT65" i="15"/>
  <c r="BN66" i="15" a="1"/>
  <c r="BN66" i="15" s="1"/>
  <c r="BO65" i="15"/>
  <c r="BV66" i="15" a="1"/>
  <c r="BV66" i="15" s="1"/>
  <c r="BG66" i="15" a="1"/>
  <c r="BG66" i="15" s="1"/>
  <c r="BP66" i="15" a="1"/>
  <c r="BP66" i="15" s="1"/>
  <c r="P65" i="15"/>
  <c r="AF65" i="15"/>
  <c r="S66" i="15" a="1"/>
  <c r="S66" i="15" s="1"/>
  <c r="AJ66" i="15" a="1"/>
  <c r="AJ66" i="15" s="1"/>
  <c r="Z65" i="15"/>
  <c r="X66" i="15" a="1"/>
  <c r="X66" i="15" s="1"/>
  <c r="Q65" i="15"/>
  <c r="AG65" i="15"/>
  <c r="W66" i="15" a="1"/>
  <c r="W66" i="15" s="1"/>
  <c r="CA65" i="15"/>
  <c r="W65" i="15"/>
  <c r="J66" i="15" a="1"/>
  <c r="J66" i="15" s="1"/>
  <c r="V66" i="15" a="1"/>
  <c r="V66" i="15" s="1"/>
  <c r="O65" i="15"/>
  <c r="BZ66" i="15" a="1"/>
  <c r="BZ66" i="15" s="1"/>
  <c r="BL38" i="15"/>
  <c r="CB38" i="15"/>
  <c r="BU38" i="15"/>
  <c r="BH39" i="15" a="1"/>
  <c r="BH39" i="15" s="1"/>
  <c r="BP39" i="15" a="1"/>
  <c r="BP39" i="15" s="1"/>
  <c r="BX39" i="15" a="1"/>
  <c r="BX39" i="15" s="1"/>
  <c r="BG39" i="15" a="1"/>
  <c r="BG39" i="15" s="1"/>
  <c r="BW39" i="15" a="1"/>
  <c r="BW39" i="15" s="1"/>
  <c r="BO38" i="15"/>
  <c r="BG38" i="15"/>
  <c r="R38" i="15"/>
  <c r="AH38" i="15"/>
  <c r="T39" i="15" a="1"/>
  <c r="T39" i="15" s="1"/>
  <c r="M38" i="15"/>
  <c r="AI38" i="15"/>
  <c r="BW38" i="15"/>
  <c r="AE38" i="15"/>
  <c r="Z39" i="15" a="1"/>
  <c r="Z39" i="15" s="1"/>
  <c r="AJ39" i="15" a="1"/>
  <c r="AJ39" i="15" s="1"/>
  <c r="AG39" i="15" a="1"/>
  <c r="AG39" i="15" s="1"/>
  <c r="Q39" i="15" a="1"/>
  <c r="Q39" i="15" s="1"/>
  <c r="O39" i="15" a="1"/>
  <c r="O39" i="15" s="1"/>
  <c r="Q38" i="15"/>
  <c r="W39" i="15" a="1"/>
  <c r="W39" i="15" s="1"/>
  <c r="CC39" i="15" a="1"/>
  <c r="CC39" i="15" s="1"/>
  <c r="BO50" i="15"/>
  <c r="BL50" i="15"/>
  <c r="BF51" i="15" a="1"/>
  <c r="BF51" i="15" s="1"/>
  <c r="BI51" i="15" a="1"/>
  <c r="BI51" i="15" s="1"/>
  <c r="BI50" i="15"/>
  <c r="BS51" i="15" a="1"/>
  <c r="BS51" i="15" s="1"/>
  <c r="BP51" i="15" a="1"/>
  <c r="BP51" i="15" s="1"/>
  <c r="BO51" i="15" a="1"/>
  <c r="BO51" i="15" s="1"/>
  <c r="BE51" i="15" a="1"/>
  <c r="BE51" i="15" s="1"/>
  <c r="AA50" i="15"/>
  <c r="R51" i="15" a="1"/>
  <c r="R51" i="15" s="1"/>
  <c r="AI51" i="15" a="1"/>
  <c r="AI51" i="15" s="1"/>
  <c r="X50" i="15"/>
  <c r="M51" i="15" a="1"/>
  <c r="M51" i="15" s="1"/>
  <c r="AC51" i="15" a="1"/>
  <c r="AC51" i="15" s="1"/>
  <c r="M50" i="15"/>
  <c r="AA51" i="15" a="1"/>
  <c r="AA51" i="15" s="1"/>
  <c r="N51" i="15" a="1"/>
  <c r="N51" i="15" s="1"/>
  <c r="Q51" i="15" a="1"/>
  <c r="Q51" i="15" s="1"/>
  <c r="Q50" i="15"/>
  <c r="AD51" i="15" a="1"/>
  <c r="AD51" i="15" s="1"/>
  <c r="AH50" i="15"/>
  <c r="BZ50" i="15"/>
  <c r="CC50" i="15"/>
  <c r="CA50" i="15"/>
  <c r="BU62" i="15"/>
  <c r="BH63" i="15" a="1"/>
  <c r="BH63" i="15" s="1"/>
  <c r="BR62" i="15"/>
  <c r="BF62" i="15"/>
  <c r="CA62" i="15"/>
  <c r="BQ63" i="15" a="1"/>
  <c r="BQ63" i="15" s="1"/>
  <c r="BO62" i="15"/>
  <c r="BS62" i="15"/>
  <c r="BN62" i="15"/>
  <c r="BT62" i="15"/>
  <c r="X62" i="15"/>
  <c r="M63" i="15" a="1"/>
  <c r="M63" i="15" s="1"/>
  <c r="U63" i="15" a="1"/>
  <c r="U63" i="15" s="1"/>
  <c r="AC63" i="15" a="1"/>
  <c r="AC63" i="15" s="1"/>
  <c r="Z62" i="15"/>
  <c r="X63" i="15" a="1"/>
  <c r="X63" i="15" s="1"/>
  <c r="BT63" i="15" a="1"/>
  <c r="BT63" i="15" s="1"/>
  <c r="Y62" i="15"/>
  <c r="J63" i="15" a="1"/>
  <c r="J63" i="15" s="1"/>
  <c r="P63" i="15" a="1"/>
  <c r="P63" i="15" s="1"/>
  <c r="AD63" i="15" a="1"/>
  <c r="AD63" i="15" s="1"/>
  <c r="L63" i="15" a="1"/>
  <c r="L63" i="15" s="1"/>
  <c r="AG63" i="15" a="1"/>
  <c r="AG63" i="15" s="1"/>
  <c r="CB63" i="15" a="1"/>
  <c r="CB63" i="15" s="1"/>
  <c r="BG74" i="15"/>
  <c r="BW74" i="15"/>
  <c r="BR75" i="15" a="1"/>
  <c r="BR75" i="15" s="1"/>
  <c r="BN74" i="15"/>
  <c r="BG75" i="15" a="1"/>
  <c r="BG75" i="15" s="1"/>
  <c r="BW75" i="15" a="1"/>
  <c r="BW75" i="15" s="1"/>
  <c r="BF75" i="15" a="1"/>
  <c r="BF75" i="15" s="1"/>
  <c r="BT74" i="15"/>
  <c r="BX75" i="15" a="1"/>
  <c r="BX75" i="15" s="1"/>
  <c r="BM74" i="15"/>
  <c r="BU74" i="15"/>
  <c r="AB74" i="15"/>
  <c r="O75" i="15" a="1"/>
  <c r="O75" i="15" s="1"/>
  <c r="W75" i="15" a="1"/>
  <c r="W75" i="15" s="1"/>
  <c r="AE75" i="15" a="1"/>
  <c r="AE75" i="15" s="1"/>
  <c r="T75" i="15" a="1"/>
  <c r="T75" i="15" s="1"/>
  <c r="AJ75" i="15" a="1"/>
  <c r="AJ75" i="15" s="1"/>
  <c r="Y74" i="15"/>
  <c r="J75" i="15" a="1"/>
  <c r="J75" i="15" s="1"/>
  <c r="Z74" i="15"/>
  <c r="R75" i="15" a="1"/>
  <c r="R75" i="15" s="1"/>
  <c r="W74" i="15"/>
  <c r="AG75" i="15" a="1"/>
  <c r="AG75" i="15" s="1"/>
  <c r="AI74" i="15"/>
  <c r="CB75" i="15" a="1"/>
  <c r="CB75" i="15" s="1"/>
  <c r="BE71" i="15"/>
  <c r="BE80" i="15"/>
  <c r="L68" i="15"/>
  <c r="CO81" i="15" a="1"/>
  <c r="CO81" i="15" s="1"/>
  <c r="CO66" i="15" a="1"/>
  <c r="CO66" i="15" s="1"/>
  <c r="CL36" i="15" a="1"/>
  <c r="CL36" i="15" s="1"/>
  <c r="CN41" i="15"/>
  <c r="CL44" i="15"/>
  <c r="CK39" i="15" a="1"/>
  <c r="CK39" i="15" s="1"/>
  <c r="CL62" i="15"/>
  <c r="AT53" i="15"/>
  <c r="AW57" i="15" a="1"/>
  <c r="AW57" i="15" s="1"/>
  <c r="AW81" i="15" a="1"/>
  <c r="AW81" i="15" s="1"/>
  <c r="AT71" i="15"/>
  <c r="AW78" i="15" a="1"/>
  <c r="AW78" i="15" s="1"/>
  <c r="AW39" i="15" a="1"/>
  <c r="AW39" i="15" s="1"/>
  <c r="AW63" i="15" a="1"/>
  <c r="AW63" i="15" s="1"/>
  <c r="CG42" i="15" a="1"/>
  <c r="CG42" i="15" s="1"/>
  <c r="CF77" i="15"/>
  <c r="CD56" i="15"/>
  <c r="CF69" i="15" a="1"/>
  <c r="CF69" i="15" s="1"/>
  <c r="CE35" i="15"/>
  <c r="CD60" i="15" a="1"/>
  <c r="CD60" i="15" s="1"/>
  <c r="CH72" i="15" a="1"/>
  <c r="CH72" i="15" s="1"/>
  <c r="CH39" i="15" a="1"/>
  <c r="CH39" i="15" s="1"/>
  <c r="CH63" i="15" a="1"/>
  <c r="CH63" i="15" s="1"/>
  <c r="CE74" i="15"/>
  <c r="AL53" i="15"/>
  <c r="AN54" i="15" a="1"/>
  <c r="AN54" i="15" s="1"/>
  <c r="AO78" i="15" a="1"/>
  <c r="AO78" i="15" s="1"/>
  <c r="AP44" i="15"/>
  <c r="AM44" i="15"/>
  <c r="AN57" i="15" a="1"/>
  <c r="AN57" i="15" s="1"/>
  <c r="AM69" i="15" a="1"/>
  <c r="AM69" i="15" s="1"/>
  <c r="AP69" i="15" a="1"/>
  <c r="AP69" i="15" s="1"/>
  <c r="AL80" i="15"/>
  <c r="AP36" i="15" a="1"/>
  <c r="AP36" i="15" s="1"/>
  <c r="AM35" i="15"/>
  <c r="AO47" i="15"/>
  <c r="AN60" i="15" a="1"/>
  <c r="AN60" i="15" s="1"/>
  <c r="AN59" i="15"/>
  <c r="AK71" i="15"/>
  <c r="AK41" i="15"/>
  <c r="AP42" i="15" a="1"/>
  <c r="AP42" i="15" s="1"/>
  <c r="AN65" i="15"/>
  <c r="AN39" i="15" a="1"/>
  <c r="AN39" i="15" s="1"/>
  <c r="AP38" i="15"/>
  <c r="AM51" i="15" a="1"/>
  <c r="AM51" i="15" s="1"/>
  <c r="AP63" i="15" a="1"/>
  <c r="AP63" i="15" s="1"/>
  <c r="AM63" i="15" a="1"/>
  <c r="AM63" i="15" s="1"/>
  <c r="AN74" i="15"/>
  <c r="BT53" i="15"/>
  <c r="BK53" i="15"/>
  <c r="BR54" i="15" a="1"/>
  <c r="BR54" i="15" s="1"/>
  <c r="BI53" i="15"/>
  <c r="BM54" i="15" a="1"/>
  <c r="BM54" i="15" s="1"/>
  <c r="AE53" i="15"/>
  <c r="BN53" i="15"/>
  <c r="M54" i="15" a="1"/>
  <c r="M54" i="15" s="1"/>
  <c r="AC53" i="15"/>
  <c r="BU53" i="15"/>
  <c r="AH54" i="15" a="1"/>
  <c r="AH54" i="15" s="1"/>
  <c r="AB54" i="15" a="1"/>
  <c r="AB54" i="15" s="1"/>
  <c r="BH77" i="15"/>
  <c r="BK77" i="15"/>
  <c r="BM78" i="15" a="1"/>
  <c r="BM78" i="15" s="1"/>
  <c r="BV77" i="15"/>
  <c r="BV78" i="15" a="1"/>
  <c r="BV78" i="15" s="1"/>
  <c r="T77" i="15"/>
  <c r="Y78" i="15" a="1"/>
  <c r="Y78" i="15" s="1"/>
  <c r="M77" i="15"/>
  <c r="V78" i="15" a="1"/>
  <c r="V78" i="15" s="1"/>
  <c r="V77" i="15"/>
  <c r="AA77" i="15"/>
  <c r="J78" i="15" a="1"/>
  <c r="J78" i="15" s="1"/>
  <c r="BY78" i="15" a="1"/>
  <c r="BY78" i="15" s="1"/>
  <c r="BF45" i="15" a="1"/>
  <c r="BF45" i="15" s="1"/>
  <c r="BV45" i="15" a="1"/>
  <c r="BV45" i="15" s="1"/>
  <c r="BJ44" i="15"/>
  <c r="BF44" i="15"/>
  <c r="O44" i="15"/>
  <c r="T44" i="15"/>
  <c r="S45" i="15" a="1"/>
  <c r="S45" i="15" s="1"/>
  <c r="M44" i="15"/>
  <c r="T45" i="15" a="1"/>
  <c r="T45" i="15" s="1"/>
  <c r="R44" i="15"/>
  <c r="Z44" i="15"/>
  <c r="CA45" i="15" a="1"/>
  <c r="CA45" i="15" s="1"/>
  <c r="BQ56" i="15"/>
  <c r="BH57" i="15" a="1"/>
  <c r="BH57" i="15" s="1"/>
  <c r="BX57" i="15" a="1"/>
  <c r="BX57" i="15" s="1"/>
  <c r="BU57" i="15" a="1"/>
  <c r="BU57" i="15" s="1"/>
  <c r="BS57" i="15" a="1"/>
  <c r="BS57" i="15" s="1"/>
  <c r="S57" i="15" a="1"/>
  <c r="S57" i="15" s="1"/>
  <c r="Z56" i="15"/>
  <c r="AG57" i="15" a="1"/>
  <c r="AG57" i="15" s="1"/>
  <c r="O56" i="15"/>
  <c r="AB56" i="15"/>
  <c r="P56" i="15"/>
  <c r="CB56" i="15"/>
  <c r="BZ57" i="15" a="1"/>
  <c r="BZ57" i="15" s="1"/>
  <c r="BL69" i="15" a="1"/>
  <c r="BL69" i="15" s="1"/>
  <c r="CC68" i="15"/>
  <c r="BX68" i="15"/>
  <c r="BW69" i="15" a="1"/>
  <c r="BW69" i="15" s="1"/>
  <c r="BX69" i="15" a="1"/>
  <c r="BX69" i="15" s="1"/>
  <c r="M69" i="15" a="1"/>
  <c r="M69" i="15" s="1"/>
  <c r="AC69" i="15" a="1"/>
  <c r="AC69" i="15" s="1"/>
  <c r="X69" i="15" a="1"/>
  <c r="X69" i="15" s="1"/>
  <c r="AG68" i="15"/>
  <c r="R69" i="15" a="1"/>
  <c r="R69" i="15" s="1"/>
  <c r="AI68" i="15"/>
  <c r="CB69" i="15" a="1"/>
  <c r="CB69" i="15" s="1"/>
  <c r="BY80" i="15"/>
  <c r="BO80" i="15"/>
  <c r="BP80" i="15"/>
  <c r="BX80" i="15"/>
  <c r="BQ81" i="15" a="1"/>
  <c r="BQ81" i="15" s="1"/>
  <c r="AH80" i="15"/>
  <c r="AB81" i="15" a="1"/>
  <c r="AB81" i="15" s="1"/>
  <c r="AB80" i="15"/>
  <c r="AH81" i="15" a="1"/>
  <c r="AH81" i="15" s="1"/>
  <c r="AG81" i="15" a="1"/>
  <c r="AG81" i="15" s="1"/>
  <c r="BR81" i="15" a="1"/>
  <c r="BR81" i="15" s="1"/>
  <c r="AG80" i="15"/>
  <c r="BM35" i="15"/>
  <c r="BR36" i="15" a="1"/>
  <c r="BR36" i="15" s="1"/>
  <c r="BG36" i="15" a="1"/>
  <c r="BG36" i="15" s="1"/>
  <c r="BI36" i="15" a="1"/>
  <c r="BI36" i="15" s="1"/>
  <c r="BP35" i="15"/>
  <c r="AG35" i="15"/>
  <c r="AH35" i="15"/>
  <c r="S35" i="15"/>
  <c r="BH35" i="15"/>
  <c r="AE36" i="15" a="1"/>
  <c r="AE36" i="15" s="1"/>
  <c r="AJ35" i="15"/>
  <c r="BM36" i="15" a="1"/>
  <c r="BM36" i="15" s="1"/>
  <c r="CB36" i="15" a="1"/>
  <c r="CB36" i="15" s="1"/>
  <c r="BI48" i="15" a="1"/>
  <c r="BI48" i="15" s="1"/>
  <c r="BW47" i="15"/>
  <c r="BQ47" i="15"/>
  <c r="BG48" i="15" a="1"/>
  <c r="BG48" i="15" s="1"/>
  <c r="BM47" i="15"/>
  <c r="AI47" i="15"/>
  <c r="X47" i="15"/>
  <c r="AC48" i="15" a="1"/>
  <c r="AC48" i="15" s="1"/>
  <c r="AA48" i="15" a="1"/>
  <c r="AA48" i="15" s="1"/>
  <c r="Z47" i="15"/>
  <c r="N47" i="15"/>
  <c r="CC48" i="15" a="1"/>
  <c r="CC48" i="15" s="1"/>
  <c r="BS59" i="15"/>
  <c r="BJ59" i="15"/>
  <c r="BI59" i="15"/>
  <c r="BP59" i="15"/>
  <c r="CB59" i="15"/>
  <c r="AE59" i="15"/>
  <c r="P59" i="15"/>
  <c r="AG59" i="15"/>
  <c r="AH60" i="15" a="1"/>
  <c r="AH60" i="15" s="1"/>
  <c r="AG60" i="15" a="1"/>
  <c r="AG60" i="15" s="1"/>
  <c r="AD60" i="15" a="1"/>
  <c r="AD60" i="15" s="1"/>
  <c r="S60" i="15" a="1"/>
  <c r="S60" i="15" s="1"/>
  <c r="BI71" i="15"/>
  <c r="BE72" i="15" a="1"/>
  <c r="BE72" i="15" s="1"/>
  <c r="BN72" i="15" a="1"/>
  <c r="BN72" i="15" s="1"/>
  <c r="CA71" i="15"/>
  <c r="BS72" i="15" a="1"/>
  <c r="BS72" i="15" s="1"/>
  <c r="P71" i="15"/>
  <c r="W72" i="15" a="1"/>
  <c r="W72" i="15" s="1"/>
  <c r="O72" i="15" a="1"/>
  <c r="O72" i="15" s="1"/>
  <c r="AG71" i="15"/>
  <c r="L72" i="15" a="1"/>
  <c r="L72" i="15" s="1"/>
  <c r="BR71" i="15"/>
  <c r="V72" i="15" a="1"/>
  <c r="V72" i="15" s="1"/>
  <c r="CB72" i="15" a="1"/>
  <c r="CB72" i="15" s="1"/>
  <c r="CC41" i="15"/>
  <c r="BN41" i="15"/>
  <c r="BW42" i="15" a="1"/>
  <c r="BW42" i="15" s="1"/>
  <c r="CA41" i="15"/>
  <c r="BG41" i="15"/>
  <c r="Y41" i="15"/>
  <c r="AH42" i="15" a="1"/>
  <c r="AH42" i="15" s="1"/>
  <c r="O42" i="15" a="1"/>
  <c r="O42" i="15" s="1"/>
  <c r="AI41" i="15"/>
  <c r="T42" i="15" a="1"/>
  <c r="T42" i="15" s="1"/>
  <c r="J42" i="15" a="1"/>
  <c r="J42" i="15" s="1"/>
  <c r="L42" i="15" a="1"/>
  <c r="L42" i="15" s="1"/>
  <c r="BQ65" i="15"/>
  <c r="BU66" i="15" a="1"/>
  <c r="BU66" i="15" s="1"/>
  <c r="CB65" i="15"/>
  <c r="BK66" i="15" a="1"/>
  <c r="BK66" i="15" s="1"/>
  <c r="BS66" i="15" a="1"/>
  <c r="BS66" i="15" s="1"/>
  <c r="X65" i="15"/>
  <c r="AC66" i="15" a="1"/>
  <c r="AC66" i="15" s="1"/>
  <c r="AH65" i="15"/>
  <c r="Y65" i="15"/>
  <c r="AG66" i="15" a="1"/>
  <c r="AG66" i="15" s="1"/>
  <c r="BJ66" i="15" a="1"/>
  <c r="BJ66" i="15" s="1"/>
  <c r="AA65" i="15"/>
  <c r="CA66" i="15" a="1"/>
  <c r="CA66" i="15" s="1"/>
  <c r="BM38" i="15"/>
  <c r="BL39" i="15" a="1"/>
  <c r="BL39" i="15" s="1"/>
  <c r="BS38" i="15"/>
  <c r="BR38" i="15"/>
  <c r="BE39" i="15" a="1"/>
  <c r="BE39" i="15" s="1"/>
  <c r="P39" i="15" a="1"/>
  <c r="P39" i="15" s="1"/>
  <c r="X38" i="15"/>
  <c r="T38" i="15"/>
  <c r="AD39" i="15" a="1"/>
  <c r="AD39" i="15" s="1"/>
  <c r="P38" i="15"/>
  <c r="AC39" i="15" a="1"/>
  <c r="AC39" i="15" s="1"/>
  <c r="CB39" i="15" a="1"/>
  <c r="CB39" i="15" s="1"/>
  <c r="BW50" i="15"/>
  <c r="BJ50" i="15"/>
  <c r="BK51" i="15" a="1"/>
  <c r="BK51" i="15" s="1"/>
  <c r="BU50" i="15"/>
  <c r="S50" i="15"/>
  <c r="Z51" i="15" a="1"/>
  <c r="Z51" i="15" s="1"/>
  <c r="AF50" i="15"/>
  <c r="AJ51" i="15" a="1"/>
  <c r="AJ51" i="15" s="1"/>
  <c r="L51" i="15" a="1"/>
  <c r="L51" i="15" s="1"/>
  <c r="AH51" i="15" a="1"/>
  <c r="AH51" i="15" s="1"/>
  <c r="Y51" i="15" a="1"/>
  <c r="Y51" i="15" s="1"/>
  <c r="CA51" i="15" a="1"/>
  <c r="CA51" i="15" s="1"/>
  <c r="BM62" i="15"/>
  <c r="BG62" i="15"/>
  <c r="BP62" i="15"/>
  <c r="BU63" i="15" a="1"/>
  <c r="BU63" i="15" s="1"/>
  <c r="BR63" i="15" a="1"/>
  <c r="BR63" i="15" s="1"/>
  <c r="P62" i="15"/>
  <c r="Q63" i="15" a="1"/>
  <c r="Q63" i="15" s="1"/>
  <c r="AH63" i="15" a="1"/>
  <c r="AH63" i="15" s="1"/>
  <c r="AF63" i="15" a="1"/>
  <c r="AF63" i="15" s="1"/>
  <c r="AG62" i="15"/>
  <c r="V63" i="15" a="1"/>
  <c r="V63" i="15" s="1"/>
  <c r="O62" i="15"/>
  <c r="BZ63" i="15" a="1"/>
  <c r="BZ63" i="15" s="1"/>
  <c r="BJ75" i="15" a="1"/>
  <c r="BJ75" i="15" s="1"/>
  <c r="BV74" i="15"/>
  <c r="BQ74" i="15"/>
  <c r="BH75" i="15" a="1"/>
  <c r="BH75" i="15" s="1"/>
  <c r="BN75" i="15" a="1"/>
  <c r="BN75" i="15" s="1"/>
  <c r="AJ74" i="15"/>
  <c r="AA75" i="15" a="1"/>
  <c r="AA75" i="15" s="1"/>
  <c r="Z75" i="15" a="1"/>
  <c r="Z75" i="15" s="1"/>
  <c r="AG74" i="15"/>
  <c r="AH74" i="15"/>
  <c r="O74" i="15"/>
  <c r="BY75" i="15" a="1"/>
  <c r="BY75" i="15" s="1"/>
  <c r="J68" i="15"/>
  <c r="J77" i="15"/>
  <c r="L71" i="15"/>
  <c r="AP54" i="15" a="1"/>
  <c r="AP54" i="15" s="1"/>
  <c r="AN78" i="15" a="1"/>
  <c r="AN78" i="15" s="1"/>
  <c r="AK57" i="15" a="1"/>
  <c r="AK57" i="15" s="1"/>
  <c r="AP80" i="15"/>
  <c r="AK36" i="15" a="1"/>
  <c r="AK36" i="15" s="1"/>
  <c r="AP48" i="15" a="1"/>
  <c r="AP48" i="15" s="1"/>
  <c r="AP71" i="15"/>
  <c r="AM66" i="15" a="1"/>
  <c r="AM66" i="15" s="1"/>
  <c r="AL38" i="15"/>
  <c r="AN51" i="15" a="1"/>
  <c r="AN51" i="15" s="1"/>
  <c r="AL74" i="15"/>
  <c r="BK54" i="15" a="1"/>
  <c r="BK54" i="15" s="1"/>
  <c r="BL54" i="15" a="1"/>
  <c r="BL54" i="15" s="1"/>
  <c r="T53" i="15"/>
  <c r="Z54" i="15" a="1"/>
  <c r="Z54" i="15" s="1"/>
  <c r="AD53" i="15"/>
  <c r="U54" i="15" a="1"/>
  <c r="U54" i="15" s="1"/>
  <c r="BS78" i="15" a="1"/>
  <c r="BS78" i="15" s="1"/>
  <c r="AF77" i="15"/>
  <c r="O78" i="15" a="1"/>
  <c r="O78" i="15" s="1"/>
  <c r="AH77" i="15"/>
  <c r="BP78" i="15" a="1"/>
  <c r="BP78" i="15" s="1"/>
  <c r="BL45" i="15" a="1"/>
  <c r="BL45" i="15" s="1"/>
  <c r="BS45" i="15" a="1"/>
  <c r="BS45" i="15" s="1"/>
  <c r="AF44" i="15"/>
  <c r="L45" i="15" a="1"/>
  <c r="L45" i="15" s="1"/>
  <c r="J45" i="15" a="1"/>
  <c r="J45" i="15" s="1"/>
  <c r="BY45" i="15" a="1"/>
  <c r="BY45" i="15" s="1"/>
  <c r="BN57" i="15" a="1"/>
  <c r="BN57" i="15" s="1"/>
  <c r="AF57" i="15" a="1"/>
  <c r="AF57" i="15" s="1"/>
  <c r="AA56" i="15"/>
  <c r="Z57" i="15" a="1"/>
  <c r="Z57" i="15" s="1"/>
  <c r="BZ56" i="15"/>
  <c r="BN68" i="15"/>
  <c r="BN69" i="15" a="1"/>
  <c r="BN69" i="15" s="1"/>
  <c r="T68" i="15"/>
  <c r="N68" i="15"/>
  <c r="M68" i="15"/>
  <c r="BH69" i="15" a="1"/>
  <c r="BH69" i="15" s="1"/>
  <c r="L69" i="15" a="1"/>
  <c r="L69" i="15" s="1"/>
  <c r="BK81" i="15" a="1"/>
  <c r="BK81" i="15" s="1"/>
  <c r="BI81" i="15" a="1"/>
  <c r="BI81" i="15" s="1"/>
  <c r="N80" i="15"/>
  <c r="AJ81" i="15" a="1"/>
  <c r="AJ81" i="15" s="1"/>
  <c r="S80" i="15"/>
  <c r="S81" i="15" a="1"/>
  <c r="S81" i="15" s="1"/>
  <c r="BZ81" i="15" a="1"/>
  <c r="BZ81" i="15" s="1"/>
  <c r="BS35" i="15"/>
  <c r="M35" i="15"/>
  <c r="BT36" i="15" a="1"/>
  <c r="BT36" i="15" s="1"/>
  <c r="M36" i="15" a="1"/>
  <c r="M36" i="15" s="1"/>
  <c r="W36" i="15" a="1"/>
  <c r="W36" i="15" s="1"/>
  <c r="BJ48" i="15" a="1"/>
  <c r="BJ48" i="15" s="1"/>
  <c r="BU47" i="15"/>
  <c r="O47" i="15"/>
  <c r="AJ47" i="15"/>
  <c r="Q47" i="15"/>
  <c r="U48" i="15" a="1"/>
  <c r="U48" i="15" s="1"/>
  <c r="CB48" i="15" a="1"/>
  <c r="CB48" i="15" s="1"/>
  <c r="BV59" i="15"/>
  <c r="BQ60" i="15" a="1"/>
  <c r="BQ60" i="15" s="1"/>
  <c r="R60" i="15" a="1"/>
  <c r="R60" i="15" s="1"/>
  <c r="X60" i="15" a="1"/>
  <c r="X60" i="15" s="1"/>
  <c r="AE60" i="15" a="1"/>
  <c r="AE60" i="15" s="1"/>
  <c r="BU71" i="15"/>
  <c r="BT72" i="15" a="1"/>
  <c r="BT72" i="15" s="1"/>
  <c r="AI72" i="15" a="1"/>
  <c r="AI72" i="15" s="1"/>
  <c r="R71" i="15"/>
  <c r="S72" i="15" a="1"/>
  <c r="S72" i="15" s="1"/>
  <c r="BI41" i="15"/>
  <c r="BZ41" i="15"/>
  <c r="CB41" i="15"/>
  <c r="BO41" i="15"/>
  <c r="N42" i="15" a="1"/>
  <c r="N42" i="15" s="1"/>
  <c r="AF42" i="15" a="1"/>
  <c r="AF42" i="15" s="1"/>
  <c r="P41" i="15"/>
  <c r="CC65" i="15"/>
  <c r="BH65" i="15"/>
  <c r="BT66" i="15" a="1"/>
  <c r="BT66" i="15" s="1"/>
  <c r="AJ65" i="15"/>
  <c r="AH66" i="15" a="1"/>
  <c r="AH66" i="15" s="1"/>
  <c r="U66" i="15" a="1"/>
  <c r="U66" i="15" s="1"/>
  <c r="BP38" i="15"/>
  <c r="BY38" i="15"/>
  <c r="BK39" i="15" a="1"/>
  <c r="BK39" i="15" s="1"/>
  <c r="V38" i="15"/>
  <c r="V39" i="15" a="1"/>
  <c r="V39" i="15" s="1"/>
  <c r="AJ38" i="15"/>
  <c r="BQ39" i="15" a="1"/>
  <c r="BQ39" i="15" s="1"/>
  <c r="AB38" i="15"/>
  <c r="BY39" i="15" a="1"/>
  <c r="BY39" i="15" s="1"/>
  <c r="BV51" i="15" a="1"/>
  <c r="BV51" i="15" s="1"/>
  <c r="AE50" i="15"/>
  <c r="BM51" i="15" a="1"/>
  <c r="BM51" i="15" s="1"/>
  <c r="U50" i="15"/>
  <c r="Y50" i="15"/>
  <c r="CB51" i="15" a="1"/>
  <c r="CB51" i="15" s="1"/>
  <c r="BK63" i="15" a="1"/>
  <c r="BK63" i="15" s="1"/>
  <c r="AB62" i="15"/>
  <c r="AH62" i="15"/>
  <c r="M62" i="15"/>
  <c r="N62" i="15"/>
  <c r="W62" i="15"/>
  <c r="BK74" i="15"/>
  <c r="BU75" i="15" a="1"/>
  <c r="BU75" i="15" s="1"/>
  <c r="BQ75" i="15" a="1"/>
  <c r="BQ75" i="15" s="1"/>
  <c r="Q75" i="15" a="1"/>
  <c r="Q75" i="15" s="1"/>
  <c r="M74" i="15"/>
  <c r="X75" i="15" a="1"/>
  <c r="X75" i="15" s="1"/>
  <c r="CA75" i="15" a="1"/>
  <c r="CA75" i="15" s="1"/>
  <c r="L77" i="15"/>
  <c r="L74" i="15"/>
  <c r="CJ71" i="15"/>
  <c r="CJ68" i="15"/>
  <c r="CJ77" i="15"/>
  <c r="CJ54" i="15" a="1"/>
  <c r="CJ54" i="15" s="1"/>
  <c r="CM57" i="15" a="1"/>
  <c r="CM57" i="15" s="1"/>
  <c r="CP38" i="15"/>
  <c r="AU66" i="15" a="1"/>
  <c r="AU66" i="15" s="1"/>
  <c r="AU69" i="15" a="1"/>
  <c r="AU69" i="15" s="1"/>
  <c r="AR36" i="15" a="1"/>
  <c r="AR36" i="15" s="1"/>
  <c r="AU60" i="15" a="1"/>
  <c r="AU60" i="15" s="1"/>
  <c r="AU42" i="15" a="1"/>
  <c r="AU42" i="15" s="1"/>
  <c r="AU45" i="15" a="1"/>
  <c r="AU45" i="15" s="1"/>
  <c r="AU51" i="15" a="1"/>
  <c r="AU51" i="15" s="1"/>
  <c r="AU75" i="15" a="1"/>
  <c r="AU75" i="15" s="1"/>
  <c r="CI54" i="15" a="1"/>
  <c r="CI54" i="15" s="1"/>
  <c r="CD44" i="15"/>
  <c r="CG57" i="15" a="1"/>
  <c r="CG57" i="15" s="1"/>
  <c r="CD81" i="15" a="1"/>
  <c r="CD81" i="15" s="1"/>
  <c r="CD48" i="15" a="1"/>
  <c r="CD48" i="15" s="1"/>
  <c r="CF59" i="15"/>
  <c r="CD39" i="15" a="1"/>
  <c r="CD39" i="15" s="1"/>
  <c r="CF50" i="15"/>
  <c r="CG62" i="15"/>
  <c r="CE75" i="15" a="1"/>
  <c r="CE75" i="15" s="1"/>
  <c r="AK78" i="15" a="1"/>
  <c r="AK78" i="15" s="1"/>
  <c r="AO45" i="15" a="1"/>
  <c r="AO45" i="15" s="1"/>
  <c r="AK56" i="15"/>
  <c r="AO68" i="15"/>
  <c r="AO80" i="15"/>
  <c r="AK48" i="15" a="1"/>
  <c r="AK48" i="15" s="1"/>
  <c r="AO59" i="15"/>
  <c r="AN71" i="15"/>
  <c r="AP41" i="15"/>
  <c r="AN66" i="15" a="1"/>
  <c r="AN66" i="15" s="1"/>
  <c r="AM50" i="15"/>
  <c r="AM62" i="15"/>
  <c r="AM74" i="15"/>
  <c r="BW53" i="15"/>
  <c r="BR53" i="15"/>
  <c r="BH54" i="15" a="1"/>
  <c r="BH54" i="15" s="1"/>
  <c r="S54" i="15" a="1"/>
  <c r="S54" i="15" s="1"/>
  <c r="AD54" i="15" a="1"/>
  <c r="AD54" i="15" s="1"/>
  <c r="BY53" i="15"/>
  <c r="BT77" i="15"/>
  <c r="BW77" i="15"/>
  <c r="BY77" i="15"/>
  <c r="BL78" i="15" a="1"/>
  <c r="BL78" i="15" s="1"/>
  <c r="Y77" i="15"/>
  <c r="AH78" i="15" a="1"/>
  <c r="AH78" i="15" s="1"/>
  <c r="S77" i="15"/>
  <c r="BH44" i="15"/>
  <c r="BM44" i="15"/>
  <c r="BM45" i="15" a="1"/>
  <c r="BM45" i="15" s="1"/>
  <c r="AA44" i="15"/>
  <c r="Y45" i="15" a="1"/>
  <c r="Y45" i="15" s="1"/>
  <c r="AF45" i="15" a="1"/>
  <c r="AF45" i="15" s="1"/>
  <c r="BE45" i="15" a="1"/>
  <c r="BE45" i="15" s="1"/>
  <c r="BL56" i="15"/>
  <c r="BJ56" i="15"/>
  <c r="BN56" i="15"/>
  <c r="U56" i="15"/>
  <c r="N57" i="15" a="1"/>
  <c r="N57" i="15" s="1"/>
  <c r="W57" i="15" a="1"/>
  <c r="W57" i="15" s="1"/>
  <c r="AC57" i="15" a="1"/>
  <c r="AC57" i="15" s="1"/>
  <c r="BI68" i="15"/>
  <c r="BK68" i="15"/>
  <c r="BW68" i="15"/>
  <c r="S69" i="15" a="1"/>
  <c r="S69" i="15" s="1"/>
  <c r="AD69" i="15" a="1"/>
  <c r="AD69" i="15" s="1"/>
  <c r="CA69" i="15" a="1"/>
  <c r="CA69" i="15" s="1"/>
  <c r="BH81" i="15" a="1"/>
  <c r="BH81" i="15" s="1"/>
  <c r="BE81" i="15" a="1"/>
  <c r="BE81" i="15" s="1"/>
  <c r="R81" i="15" a="1"/>
  <c r="R81" i="15" s="1"/>
  <c r="M81" i="15" a="1"/>
  <c r="M81" i="15" s="1"/>
  <c r="L81" i="15" a="1"/>
  <c r="L81" i="15" s="1"/>
  <c r="BY35" i="15"/>
  <c r="BJ35" i="15"/>
  <c r="BS36" i="15" a="1"/>
  <c r="BS36" i="15" s="1"/>
  <c r="Y36" i="15" a="1"/>
  <c r="Y36" i="15" s="1"/>
  <c r="AA35" i="15"/>
  <c r="AD35" i="15"/>
  <c r="P35" i="15"/>
  <c r="BJ47" i="15"/>
  <c r="BU48" i="15" a="1"/>
  <c r="BU48" i="15" s="1"/>
  <c r="BP48" i="15" a="1"/>
  <c r="BP48" i="15" s="1"/>
  <c r="Y48" i="15" a="1"/>
  <c r="Y48" i="15" s="1"/>
  <c r="U47" i="15"/>
  <c r="AE48" i="15" a="1"/>
  <c r="AE48" i="15" s="1"/>
  <c r="BG60" i="15" a="1"/>
  <c r="BG60" i="15" s="1"/>
  <c r="BF60" i="15" a="1"/>
  <c r="BF60" i="15" s="1"/>
  <c r="BS60" i="15" a="1"/>
  <c r="BS60" i="15" s="1"/>
  <c r="AB59" i="15"/>
  <c r="Z59" i="15"/>
  <c r="M59" i="15"/>
  <c r="CC60" i="15" a="1"/>
  <c r="CC60" i="15" s="1"/>
  <c r="BP71" i="15"/>
  <c r="BF71" i="15"/>
  <c r="BZ71" i="15"/>
  <c r="AB71" i="15"/>
  <c r="M71" i="15"/>
  <c r="T72" i="15" a="1"/>
  <c r="T72" i="15" s="1"/>
  <c r="BQ72" i="15" a="1"/>
  <c r="BQ72" i="15" s="1"/>
  <c r="BN42" i="15" a="1"/>
  <c r="BN42" i="15" s="1"/>
  <c r="BX42" i="15" a="1"/>
  <c r="BX42" i="15" s="1"/>
  <c r="R41" i="15"/>
  <c r="AA42" i="15" a="1"/>
  <c r="AA42" i="15" s="1"/>
  <c r="AB41" i="15"/>
  <c r="CB42" i="15" a="1"/>
  <c r="CB42" i="15" s="1"/>
  <c r="BJ65" i="15"/>
  <c r="BS65" i="15"/>
  <c r="N65" i="15"/>
  <c r="N66" i="15" a="1"/>
  <c r="N66" i="15" s="1"/>
  <c r="AE65" i="15"/>
  <c r="AE66" i="15" a="1"/>
  <c r="AE66" i="15" s="1"/>
  <c r="BR39" i="15" a="1"/>
  <c r="BR39" i="15" s="1"/>
  <c r="BM39" i="15" a="1"/>
  <c r="BM39" i="15" s="1"/>
  <c r="M39" i="15" a="1"/>
  <c r="M39" i="15" s="1"/>
  <c r="J39" i="15" a="1"/>
  <c r="J39" i="15" s="1"/>
  <c r="BP50" i="15"/>
  <c r="BL51" i="15" a="1"/>
  <c r="BL51" i="15" s="1"/>
  <c r="BG51" i="15" a="1"/>
  <c r="BG51" i="15" s="1"/>
  <c r="P51" i="15" a="1"/>
  <c r="P51" i="15" s="1"/>
  <c r="N50" i="15"/>
  <c r="R50" i="15"/>
  <c r="BY62" i="15"/>
  <c r="BW62" i="15"/>
  <c r="BZ62" i="15"/>
  <c r="BG63" i="15" a="1"/>
  <c r="BG63" i="15" s="1"/>
  <c r="W63" i="15" a="1"/>
  <c r="W63" i="15" s="1"/>
  <c r="AJ63" i="15" a="1"/>
  <c r="AJ63" i="15" s="1"/>
  <c r="BL75" i="15" a="1"/>
  <c r="BL75" i="15" s="1"/>
  <c r="BH74" i="15"/>
  <c r="P74" i="15"/>
  <c r="AH75" i="15" a="1"/>
  <c r="AH75" i="15" s="1"/>
  <c r="N74" i="15"/>
  <c r="L75" i="15" a="1"/>
  <c r="L75" i="15" s="1"/>
  <c r="L65" i="15"/>
  <c r="BE74" i="15"/>
  <c r="J65" i="15"/>
  <c r="BE68" i="15"/>
  <c r="J80" i="15"/>
  <c r="CM69" i="15" a="1"/>
  <c r="CM69" i="15" s="1"/>
  <c r="CL42" i="15" a="1"/>
  <c r="CL42" i="15" s="1"/>
  <c r="CK48" i="15" a="1"/>
  <c r="CK48" i="15" s="1"/>
  <c r="AW69" i="15" a="1"/>
  <c r="AW69" i="15" s="1"/>
  <c r="AW45" i="15" a="1"/>
  <c r="AW45" i="15" s="1"/>
  <c r="AW75" i="15" a="1"/>
  <c r="AW75" i="15" s="1"/>
  <c r="CG44" i="15"/>
  <c r="CI81" i="15" a="1"/>
  <c r="CI81" i="15" s="1"/>
  <c r="CE71" i="15"/>
  <c r="CD50" i="15"/>
  <c r="CD75" i="15" a="1"/>
  <c r="CD75" i="15" s="1"/>
  <c r="AP78" i="15" a="1"/>
  <c r="AP78" i="15" s="1"/>
  <c r="AN45" i="15" a="1"/>
  <c r="AN45" i="15" s="1"/>
  <c r="AL57" i="15" a="1"/>
  <c r="AL57" i="15" s="1"/>
  <c r="AL81" i="15" a="1"/>
  <c r="AL81" i="15" s="1"/>
  <c r="AN36" i="15" a="1"/>
  <c r="AN36" i="15" s="1"/>
  <c r="AO48" i="15" a="1"/>
  <c r="AO48" i="15" s="1"/>
  <c r="AO72" i="15" a="1"/>
  <c r="AO72" i="15" s="1"/>
  <c r="AN42" i="15" a="1"/>
  <c r="AN42" i="15" s="1"/>
  <c r="AM65" i="15"/>
  <c r="AP51" i="15" a="1"/>
  <c r="AP51" i="15" s="1"/>
  <c r="AL62" i="15"/>
  <c r="AN75" i="15" a="1"/>
  <c r="AN75" i="15" s="1"/>
  <c r="CC53" i="15"/>
  <c r="BP54" i="15" a="1"/>
  <c r="BP54" i="15" s="1"/>
  <c r="V54" i="15" a="1"/>
  <c r="V54" i="15" s="1"/>
  <c r="AC54" i="15" a="1"/>
  <c r="AC54" i="15" s="1"/>
  <c r="R54" i="15" a="1"/>
  <c r="R54" i="15" s="1"/>
  <c r="BZ54" i="15" a="1"/>
  <c r="BZ54" i="15" s="1"/>
  <c r="CA77" i="15"/>
  <c r="BF78" i="15" a="1"/>
  <c r="BF78" i="15" s="1"/>
  <c r="AJ77" i="15"/>
  <c r="AC77" i="15"/>
  <c r="S78" i="15" a="1"/>
  <c r="S78" i="15" s="1"/>
  <c r="AI77" i="15"/>
  <c r="BN45" i="15" a="1"/>
  <c r="BN45" i="15" s="1"/>
  <c r="BQ45" i="15" a="1"/>
  <c r="BQ45" i="15" s="1"/>
  <c r="AE44" i="15"/>
  <c r="AA45" i="15" a="1"/>
  <c r="AA45" i="15" s="1"/>
  <c r="Q44" i="15"/>
  <c r="CC44" i="15"/>
  <c r="BP56" i="15"/>
  <c r="BR56" i="15"/>
  <c r="Y56" i="15"/>
  <c r="Q57" i="15" a="1"/>
  <c r="Q57" i="15" s="1"/>
  <c r="AH57" i="15" a="1"/>
  <c r="AH57" i="15" s="1"/>
  <c r="M57" i="15" a="1"/>
  <c r="M57" i="15" s="1"/>
  <c r="BR68" i="15"/>
  <c r="BS69" i="15" a="1"/>
  <c r="BS69" i="15" s="1"/>
  <c r="BJ69" i="15" a="1"/>
  <c r="BJ69" i="15" s="1"/>
  <c r="U69" i="15" a="1"/>
  <c r="U69" i="15" s="1"/>
  <c r="Q68" i="15"/>
  <c r="AJ69" i="15" a="1"/>
  <c r="AJ69" i="15" s="1"/>
  <c r="BI80" i="15"/>
  <c r="BL81" i="15" a="1"/>
  <c r="BL81" i="15" s="1"/>
  <c r="BG80" i="15"/>
  <c r="T81" i="15" a="1"/>
  <c r="T81" i="15" s="1"/>
  <c r="Q81" i="15" a="1"/>
  <c r="Q81" i="15" s="1"/>
  <c r="W81" i="15" a="1"/>
  <c r="W81" i="15" s="1"/>
  <c r="BY81" i="15" a="1"/>
  <c r="BY81" i="15" s="1"/>
  <c r="BN35" i="15"/>
  <c r="CA35" i="15"/>
  <c r="BX35" i="15"/>
  <c r="S36" i="15" a="1"/>
  <c r="S36" i="15" s="1"/>
  <c r="P36" i="15" a="1"/>
  <c r="P36" i="15" s="1"/>
  <c r="X35" i="15"/>
  <c r="BG47" i="15"/>
  <c r="BX48" i="15" a="1"/>
  <c r="BX48" i="15" s="1"/>
  <c r="S47" i="15"/>
  <c r="M48" i="15" a="1"/>
  <c r="M48" i="15" s="1"/>
  <c r="AC47" i="15"/>
  <c r="V47" i="15"/>
  <c r="BK60" i="15" a="1"/>
  <c r="BK60" i="15" s="1"/>
  <c r="BR60" i="15" a="1"/>
  <c r="BR60" i="15" s="1"/>
  <c r="O59" i="15"/>
  <c r="AF59" i="15"/>
  <c r="AH59" i="15"/>
  <c r="V59" i="15"/>
  <c r="BY71" i="15"/>
  <c r="BV72" i="15" a="1"/>
  <c r="BV72" i="15" s="1"/>
  <c r="BL72" i="15" a="1"/>
  <c r="BL72" i="15" s="1"/>
  <c r="N71" i="15"/>
  <c r="X72" i="15" a="1"/>
  <c r="X72" i="15" s="1"/>
  <c r="AH72" i="15" a="1"/>
  <c r="AH72" i="15" s="1"/>
  <c r="BM41" i="15"/>
  <c r="BG42" i="15" a="1"/>
  <c r="BG42" i="15" s="1"/>
  <c r="BH41" i="15"/>
  <c r="R42" i="15" a="1"/>
  <c r="R42" i="15" s="1"/>
  <c r="AE42" i="15" a="1"/>
  <c r="AE42" i="15" s="1"/>
  <c r="AJ41" i="15"/>
  <c r="BY42" i="15" a="1"/>
  <c r="BY42" i="15" s="1"/>
  <c r="BL65" i="15"/>
  <c r="BR65" i="15"/>
  <c r="M66" i="15" a="1"/>
  <c r="M66" i="15" s="1"/>
  <c r="BV65" i="15"/>
  <c r="AA66" i="15" a="1"/>
  <c r="AA66" i="15" s="1"/>
  <c r="CC66" i="15" a="1"/>
  <c r="CC66" i="15" s="1"/>
  <c r="CC38" i="15"/>
  <c r="BO39" i="15" a="1"/>
  <c r="BO39" i="15" s="1"/>
  <c r="Z38" i="15"/>
  <c r="U39" i="15" a="1"/>
  <c r="U39" i="15" s="1"/>
  <c r="U38" i="15"/>
  <c r="AA39" i="15" a="1"/>
  <c r="AA39" i="15" s="1"/>
  <c r="BT50" i="15"/>
  <c r="BF50" i="15"/>
  <c r="AI50" i="15"/>
  <c r="U51" i="15" a="1"/>
  <c r="U51" i="15" s="1"/>
  <c r="V50" i="15"/>
  <c r="T51" i="15" a="1"/>
  <c r="T51" i="15" s="1"/>
  <c r="CC62" i="15"/>
  <c r="BM63" i="15" a="1"/>
  <c r="BM63" i="15" s="1"/>
  <c r="BP63" i="15" a="1"/>
  <c r="BP63" i="15" s="1"/>
  <c r="Y63" i="15" a="1"/>
  <c r="Y63" i="15" s="1"/>
  <c r="Q62" i="15"/>
  <c r="S62" i="15"/>
  <c r="BO74" i="15"/>
  <c r="BO75" i="15" a="1"/>
  <c r="BO75" i="15" s="1"/>
  <c r="BX74" i="15"/>
  <c r="S75" i="15" a="1"/>
  <c r="S75" i="15" s="1"/>
  <c r="Q74" i="15"/>
  <c r="AB75" i="15" a="1"/>
  <c r="AB75" i="15" s="1"/>
  <c r="CC75" i="15" a="1"/>
  <c r="CC75" i="15" s="1"/>
  <c r="CJ80" i="15"/>
  <c r="CJ65" i="15"/>
  <c r="CK54" i="15" a="1"/>
  <c r="CK54" i="15" s="1"/>
  <c r="CJ59" i="15"/>
  <c r="AU54" i="15" a="1"/>
  <c r="AU54" i="15" s="1"/>
  <c r="AU81" i="15" a="1"/>
  <c r="AU81" i="15" s="1"/>
  <c r="AU72" i="15" a="1"/>
  <c r="AU72" i="15" s="1"/>
  <c r="AU39" i="15" a="1"/>
  <c r="AU39" i="15" s="1"/>
  <c r="CD41" i="15"/>
  <c r="CE45" i="15" a="1"/>
  <c r="CE45" i="15" s="1"/>
  <c r="CI36" i="15" a="1"/>
  <c r="CI36" i="15" s="1"/>
  <c r="CE72" i="15" a="1"/>
  <c r="CE72" i="15" s="1"/>
  <c r="CF51" i="15" a="1"/>
  <c r="CF51" i="15" s="1"/>
  <c r="AM54" i="15" a="1"/>
  <c r="AM54" i="15" s="1"/>
  <c r="AM78" i="15" a="1"/>
  <c r="AM78" i="15" s="1"/>
  <c r="AP45" i="15" a="1"/>
  <c r="AP45" i="15" s="1"/>
  <c r="AK69" i="15" a="1"/>
  <c r="AK69" i="15" s="1"/>
  <c r="AN81" i="15" a="1"/>
  <c r="AN81" i="15" s="1"/>
  <c r="AL36" i="15" a="1"/>
  <c r="AL36" i="15" s="1"/>
  <c r="AK60" i="15" a="1"/>
  <c r="AK60" i="15" s="1"/>
  <c r="AN72" i="15" a="1"/>
  <c r="AN72" i="15" s="1"/>
  <c r="AL41" i="15"/>
  <c r="AL39" i="15" a="1"/>
  <c r="AL39" i="15" s="1"/>
  <c r="AP50" i="15"/>
  <c r="AP62" i="15"/>
  <c r="BP53" i="15"/>
  <c r="BN54" i="15" a="1"/>
  <c r="BN54" i="15" s="1"/>
  <c r="BV53" i="15"/>
  <c r="AJ54" i="15" a="1"/>
  <c r="AJ54" i="15" s="1"/>
  <c r="U53" i="15"/>
  <c r="N54" i="15" a="1"/>
  <c r="N54" i="15" s="1"/>
  <c r="CB54" i="15" a="1"/>
  <c r="CB54" i="15" s="1"/>
  <c r="BK78" i="15" a="1"/>
  <c r="BK78" i="15" s="1"/>
  <c r="BR78" i="15" a="1"/>
  <c r="BR78" i="15" s="1"/>
  <c r="U78" i="15" a="1"/>
  <c r="U78" i="15" s="1"/>
  <c r="R78" i="15" a="1"/>
  <c r="R78" i="15" s="1"/>
  <c r="BU77" i="15"/>
  <c r="BZ78" i="15" a="1"/>
  <c r="BZ78" i="15" s="1"/>
  <c r="BT45" i="15" a="1"/>
  <c r="BT45" i="15" s="1"/>
  <c r="BW44" i="15"/>
  <c r="P44" i="15"/>
  <c r="AH45" i="15" a="1"/>
  <c r="AH45" i="15" s="1"/>
  <c r="AI45" i="15" a="1"/>
  <c r="AI45" i="15" s="1"/>
  <c r="CC45" i="15" a="1"/>
  <c r="CC45" i="15" s="1"/>
  <c r="BF57" i="15" a="1"/>
  <c r="BF57" i="15" s="1"/>
  <c r="BQ57" i="15" a="1"/>
  <c r="BQ57" i="15" s="1"/>
  <c r="P57" i="15" a="1"/>
  <c r="P57" i="15" s="1"/>
  <c r="AD57" i="15" a="1"/>
  <c r="AD57" i="15" s="1"/>
  <c r="T56" i="15"/>
  <c r="CC56" i="15"/>
  <c r="BI69" i="15" a="1"/>
  <c r="BI69" i="15" s="1"/>
  <c r="BP68" i="15"/>
  <c r="BM69" i="15" a="1"/>
  <c r="BM69" i="15" s="1"/>
  <c r="AA69" i="15" a="1"/>
  <c r="AA69" i="15" s="1"/>
  <c r="AC68" i="15"/>
  <c r="S68" i="15"/>
  <c r="BU80" i="15"/>
  <c r="BK80" i="15"/>
  <c r="BJ81" i="15" a="1"/>
  <c r="BJ81" i="15" s="1"/>
  <c r="Z81" i="15" a="1"/>
  <c r="Z81" i="15" s="1"/>
  <c r="AC81" i="15" a="1"/>
  <c r="AC81" i="15" s="1"/>
  <c r="J81" i="15" a="1"/>
  <c r="J81" i="15" s="1"/>
  <c r="BI35" i="15"/>
  <c r="BZ35" i="15"/>
  <c r="BX36" i="15" a="1"/>
  <c r="BX36" i="15" s="1"/>
  <c r="AB35" i="15"/>
  <c r="AI36" i="15" a="1"/>
  <c r="AI36" i="15" s="1"/>
  <c r="V35" i="15"/>
  <c r="BZ36" i="15" a="1"/>
  <c r="BZ36" i="15" s="1"/>
  <c r="BS47" i="15"/>
  <c r="BX47" i="15"/>
  <c r="AE47" i="15"/>
  <c r="Z48" i="15" a="1"/>
  <c r="Z48" i="15" s="1"/>
  <c r="R47" i="15"/>
  <c r="BY48" i="15" a="1"/>
  <c r="BY48" i="15" s="1"/>
  <c r="BF59" i="15"/>
  <c r="BH59" i="15"/>
  <c r="AA59" i="15"/>
  <c r="Y59" i="15"/>
  <c r="U60" i="15" a="1"/>
  <c r="U60" i="15" s="1"/>
  <c r="AA60" i="15" a="1"/>
  <c r="AA60" i="15" s="1"/>
  <c r="BK72" i="15" a="1"/>
  <c r="BK72" i="15" s="1"/>
  <c r="BS71" i="15"/>
  <c r="BW71" i="15"/>
  <c r="AH71" i="15"/>
  <c r="AJ72" i="15" a="1"/>
  <c r="AJ72" i="15" s="1"/>
  <c r="AI71" i="15"/>
  <c r="BY41" i="15"/>
  <c r="BS42" i="15" a="1"/>
  <c r="BS42" i="15" s="1"/>
  <c r="BE42" i="15" a="1"/>
  <c r="BE42" i="15" s="1"/>
  <c r="AD42" i="15" a="1"/>
  <c r="AD42" i="15" s="1"/>
  <c r="AA41" i="15"/>
  <c r="AG42" i="15" a="1"/>
  <c r="AG42" i="15" s="1"/>
  <c r="BM65" i="15"/>
  <c r="BX65" i="15"/>
  <c r="BM66" i="15" a="1"/>
  <c r="BM66" i="15" s="1"/>
  <c r="Z66" i="15" a="1"/>
  <c r="Z66" i="15" s="1"/>
  <c r="U65" i="15"/>
  <c r="Y66" i="15" a="1"/>
  <c r="Y66" i="15" s="1"/>
  <c r="BY66" i="15" a="1"/>
  <c r="BY66" i="15" s="1"/>
  <c r="BJ39" i="15" a="1"/>
  <c r="BJ39" i="15" s="1"/>
  <c r="BJ38" i="15"/>
  <c r="N39" i="15" a="1"/>
  <c r="N39" i="15" s="1"/>
  <c r="O38" i="15"/>
  <c r="L39" i="15" a="1"/>
  <c r="L39" i="15" s="1"/>
  <c r="CA39" i="15" a="1"/>
  <c r="CA39" i="15" s="1"/>
  <c r="BH51" i="15" a="1"/>
  <c r="BH51" i="15" s="1"/>
  <c r="BU51" i="15" a="1"/>
  <c r="BU51" i="15" s="1"/>
  <c r="W51" i="15" a="1"/>
  <c r="W51" i="15" s="1"/>
  <c r="AF51" i="15" a="1"/>
  <c r="AF51" i="15" s="1"/>
  <c r="AB51" i="15" a="1"/>
  <c r="AB51" i="15" s="1"/>
  <c r="CC51" i="15" a="1"/>
  <c r="CC51" i="15" s="1"/>
  <c r="BJ63" i="15" a="1"/>
  <c r="BJ63" i="15" s="1"/>
  <c r="BS63" i="15" a="1"/>
  <c r="BS63" i="15" s="1"/>
  <c r="BJ62" i="15"/>
  <c r="AE63" i="15" a="1"/>
  <c r="AE63" i="15" s="1"/>
  <c r="AC62" i="15"/>
  <c r="BL63" i="15" a="1"/>
  <c r="BL63" i="15" s="1"/>
  <c r="CA74" i="15"/>
  <c r="BI74" i="15"/>
  <c r="CC74" i="15"/>
  <c r="Y75" i="15" a="1"/>
  <c r="Y75" i="15" s="1"/>
  <c r="AC74" i="15"/>
  <c r="AA74" i="15"/>
  <c r="BE65" i="15"/>
  <c r="CO72" i="15" a="1"/>
  <c r="CO72" i="15" s="1"/>
  <c r="CN78" i="15" a="1"/>
  <c r="CN78" i="15" s="1"/>
  <c r="CP45" i="15" a="1"/>
  <c r="CP45" i="15" s="1"/>
  <c r="AU36" i="15" a="1"/>
  <c r="AU36" i="15" s="1"/>
  <c r="AT41" i="15"/>
  <c r="AW51" i="15" a="1"/>
  <c r="AW51" i="15" s="1"/>
  <c r="CG65" i="15"/>
  <c r="CE68" i="15"/>
  <c r="CD47" i="15"/>
  <c r="CH38" i="15"/>
  <c r="CG63" i="15" a="1"/>
  <c r="CG63" i="15" s="1"/>
  <c r="AM53" i="15"/>
  <c r="AO77" i="15"/>
  <c r="AM56" i="15"/>
  <c r="AN68" i="15"/>
  <c r="AK81" i="15" a="1"/>
  <c r="AK81" i="15" s="1"/>
  <c r="AN48" i="15" a="1"/>
  <c r="AN48" i="15" s="1"/>
  <c r="AM60" i="15" a="1"/>
  <c r="AM60" i="15" s="1"/>
  <c r="AP72" i="15" a="1"/>
  <c r="AP72" i="15" s="1"/>
  <c r="AL65" i="15"/>
  <c r="AK39" i="15" a="1"/>
  <c r="AK39" i="15" s="1"/>
  <c r="AK51" i="15" a="1"/>
  <c r="AK51" i="15" s="1"/>
  <c r="AP74" i="15"/>
  <c r="BO54" i="15" a="1"/>
  <c r="BO54" i="15" s="1"/>
  <c r="CB53" i="15"/>
  <c r="O53" i="15"/>
  <c r="X53" i="15"/>
  <c r="Q53" i="15"/>
  <c r="AH53" i="15"/>
  <c r="BX77" i="15"/>
  <c r="BU78" i="15" a="1"/>
  <c r="BU78" i="15" s="1"/>
  <c r="BT78" i="15" a="1"/>
  <c r="BT78" i="15" s="1"/>
  <c r="AA78" i="15" a="1"/>
  <c r="AA78" i="15" s="1"/>
  <c r="L78" i="15" a="1"/>
  <c r="L78" i="15" s="1"/>
  <c r="O77" i="15"/>
  <c r="BL44" i="15"/>
  <c r="BQ44" i="15"/>
  <c r="BO44" i="15"/>
  <c r="AJ44" i="15"/>
  <c r="N44" i="15"/>
  <c r="AH44" i="15"/>
  <c r="BZ44" i="15"/>
  <c r="BP57" i="15" a="1"/>
  <c r="BP57" i="15" s="1"/>
  <c r="BG57" i="15" a="1"/>
  <c r="BG57" i="15" s="1"/>
  <c r="AJ57" i="15" a="1"/>
  <c r="AJ57" i="15" s="1"/>
  <c r="AI56" i="15"/>
  <c r="J57" i="15" a="1"/>
  <c r="J57" i="15" s="1"/>
  <c r="BY56" i="15"/>
  <c r="BM68" i="15"/>
  <c r="BS68" i="15"/>
  <c r="X68" i="15"/>
  <c r="V68" i="15"/>
  <c r="R68" i="15"/>
  <c r="O68" i="15"/>
  <c r="BN81" i="15" a="1"/>
  <c r="BN81" i="15" s="1"/>
  <c r="BP81" i="15" a="1"/>
  <c r="BP81" i="15" s="1"/>
  <c r="R80" i="15"/>
  <c r="BW80" i="15"/>
  <c r="W80" i="15"/>
  <c r="BH80" i="15"/>
  <c r="CC35" i="15"/>
  <c r="BW36" i="15" a="1"/>
  <c r="BW36" i="15" s="1"/>
  <c r="Q35" i="15"/>
  <c r="AC36" i="15" a="1"/>
  <c r="AC36" i="15" s="1"/>
  <c r="AI35" i="15"/>
  <c r="AE35" i="15"/>
  <c r="BN47" i="15"/>
  <c r="BN48" i="15" a="1"/>
  <c r="BN48" i="15" s="1"/>
  <c r="BL48" i="15" a="1"/>
  <c r="BL48" i="15" s="1"/>
  <c r="AB48" i="15" a="1"/>
  <c r="AB48" i="15" s="1"/>
  <c r="Y47" i="15"/>
  <c r="AH48" i="15" a="1"/>
  <c r="AH48" i="15" s="1"/>
  <c r="CA48" i="15" a="1"/>
  <c r="CA48" i="15" s="1"/>
  <c r="BZ59" i="15"/>
  <c r="BU60" i="15" a="1"/>
  <c r="BU60" i="15" s="1"/>
  <c r="Y60" i="15" a="1"/>
  <c r="Y60" i="15" s="1"/>
  <c r="AC60" i="15" a="1"/>
  <c r="AC60" i="15" s="1"/>
  <c r="U59" i="15"/>
  <c r="CB60" i="15" a="1"/>
  <c r="CB60" i="15" s="1"/>
  <c r="BT71" i="15"/>
  <c r="BN71" i="15"/>
  <c r="AF71" i="15"/>
  <c r="Q71" i="15"/>
  <c r="AD71" i="15"/>
  <c r="W71" i="15"/>
  <c r="BR42" i="15" a="1"/>
  <c r="BR42" i="15" s="1"/>
  <c r="BI42" i="15" a="1"/>
  <c r="BI42" i="15" s="1"/>
  <c r="BT42" i="15" a="1"/>
  <c r="BT42" i="15" s="1"/>
  <c r="V41" i="15"/>
  <c r="BU42" i="15" a="1"/>
  <c r="BU42" i="15" s="1"/>
  <c r="U42" i="15" a="1"/>
  <c r="U42" i="15" s="1"/>
  <c r="BF66" i="15" a="1"/>
  <c r="BF66" i="15" s="1"/>
  <c r="BW66" i="15" a="1"/>
  <c r="BW66" i="15" s="1"/>
  <c r="BH66" i="15" a="1"/>
  <c r="BH66" i="15" s="1"/>
  <c r="R65" i="15"/>
  <c r="Q66" i="15" a="1"/>
  <c r="Q66" i="15" s="1"/>
  <c r="S65" i="15"/>
  <c r="BT38" i="15"/>
  <c r="BT39" i="15" a="1"/>
  <c r="BT39" i="15" s="1"/>
  <c r="BU39" i="15" a="1"/>
  <c r="BU39" i="15" s="1"/>
  <c r="BV38" i="15"/>
  <c r="S39" i="15" a="1"/>
  <c r="S39" i="15" s="1"/>
  <c r="W38" i="15"/>
  <c r="BG50" i="15"/>
  <c r="BQ51" i="15" a="1"/>
  <c r="BQ51" i="15" s="1"/>
  <c r="BM50" i="15"/>
  <c r="P50" i="15"/>
  <c r="AC50" i="15"/>
  <c r="AG50" i="15"/>
  <c r="CB50" i="15"/>
  <c r="CB62" i="15"/>
  <c r="BE63" i="15" a="1"/>
  <c r="BE63" i="15" s="1"/>
  <c r="AF62" i="15"/>
  <c r="N63" i="15" a="1"/>
  <c r="N63" i="15" s="1"/>
  <c r="V62" i="15"/>
  <c r="AA62" i="15"/>
  <c r="BF74" i="15"/>
  <c r="BV75" i="15" a="1"/>
  <c r="BV75" i="15" s="1"/>
  <c r="T74" i="15"/>
  <c r="BI75" i="15" a="1"/>
  <c r="BI75" i="15" s="1"/>
  <c r="R74" i="15"/>
  <c r="BP75" i="15" a="1"/>
  <c r="BP75" i="15" s="1"/>
  <c r="J74" i="15"/>
  <c r="CJ74" i="15"/>
  <c r="CO35" i="15"/>
  <c r="CJ56" i="15"/>
  <c r="CO50" i="15"/>
  <c r="AU57" i="15" a="1"/>
  <c r="AU57" i="15" s="1"/>
  <c r="AU48" i="15" a="1"/>
  <c r="AU48" i="15" s="1"/>
  <c r="AU78" i="15" a="1"/>
  <c r="AU78" i="15" s="1"/>
  <c r="AU63" i="15" a="1"/>
  <c r="AU63" i="15" s="1"/>
  <c r="CD77" i="15"/>
  <c r="CH69" i="15" a="1"/>
  <c r="CH69" i="15" s="1"/>
  <c r="CI60" i="15" a="1"/>
  <c r="CI60" i="15" s="1"/>
  <c r="CE38" i="15"/>
  <c r="CF74" i="15"/>
  <c r="AO54" i="15" a="1"/>
  <c r="AO54" i="15" s="1"/>
  <c r="AL44" i="15"/>
  <c r="AO57" i="15" a="1"/>
  <c r="AO57" i="15" s="1"/>
  <c r="AK68" i="15"/>
  <c r="AM36" i="15" a="1"/>
  <c r="AM36" i="15" s="1"/>
  <c r="AN47" i="15"/>
  <c r="AP60" i="15" a="1"/>
  <c r="AP60" i="15" s="1"/>
  <c r="AO42" i="15" a="1"/>
  <c r="AO42" i="15" s="1"/>
  <c r="AP66" i="15" a="1"/>
  <c r="AP66" i="15" s="1"/>
  <c r="AO38" i="15"/>
  <c r="AN63" i="15" a="1"/>
  <c r="AN63" i="15" s="1"/>
  <c r="AO75" i="15" a="1"/>
  <c r="AO75" i="15" s="1"/>
  <c r="BG53" i="15"/>
  <c r="BE54" i="15" a="1"/>
  <c r="BE54" i="15" s="1"/>
  <c r="AA53" i="15"/>
  <c r="AJ53" i="15"/>
  <c r="J54" i="15" a="1"/>
  <c r="J54" i="15" s="1"/>
  <c r="Z53" i="15"/>
  <c r="BG77" i="15"/>
  <c r="BN77" i="15"/>
  <c r="P77" i="15"/>
  <c r="BX78" i="15" a="1"/>
  <c r="BX78" i="15" s="1"/>
  <c r="R77" i="15"/>
  <c r="AB78" i="15" a="1"/>
  <c r="AB78" i="15" s="1"/>
  <c r="BX44" i="15"/>
  <c r="BS44" i="15"/>
  <c r="BN44" i="15"/>
  <c r="Q45" i="15" a="1"/>
  <c r="Q45" i="15" s="1"/>
  <c r="P45" i="15" a="1"/>
  <c r="P45" i="15" s="1"/>
  <c r="AD45" i="15" a="1"/>
  <c r="AD45" i="15" s="1"/>
  <c r="BM56" i="15"/>
  <c r="BV57" i="15" a="1"/>
  <c r="BV57" i="15" s="1"/>
  <c r="BV56" i="15"/>
  <c r="V56" i="15"/>
  <c r="AE57" i="15" a="1"/>
  <c r="AE57" i="15" s="1"/>
  <c r="BF56" i="15"/>
  <c r="BY57" i="15" a="1"/>
  <c r="BY57" i="15" s="1"/>
  <c r="BY68" i="15"/>
  <c r="BR69" i="15" a="1"/>
  <c r="BR69" i="15" s="1"/>
  <c r="AJ68" i="15"/>
  <c r="T69" i="15" a="1"/>
  <c r="T69" i="15" s="1"/>
  <c r="N69" i="15" a="1"/>
  <c r="N69" i="15" s="1"/>
  <c r="BY69" i="15" a="1"/>
  <c r="BY69" i="15" s="1"/>
  <c r="BJ80" i="15"/>
  <c r="BN80" i="15"/>
  <c r="AD80" i="15"/>
  <c r="X80" i="15"/>
  <c r="AI80" i="15"/>
  <c r="Q80" i="15"/>
  <c r="BN36" i="15" a="1"/>
  <c r="BN36" i="15" s="1"/>
  <c r="CB35" i="15"/>
  <c r="AC35" i="15"/>
  <c r="BL36" i="15" a="1"/>
  <c r="BL36" i="15" s="1"/>
  <c r="Z36" i="15" a="1"/>
  <c r="Z36" i="15" s="1"/>
  <c r="L36" i="15" a="1"/>
  <c r="L36" i="15" s="1"/>
  <c r="CB47" i="15"/>
  <c r="BI47" i="15"/>
  <c r="BK48" i="15" a="1"/>
  <c r="BK48" i="15" s="1"/>
  <c r="T47" i="15"/>
  <c r="T48" i="15" a="1"/>
  <c r="T48" i="15" s="1"/>
  <c r="J48" i="15" a="1"/>
  <c r="J48" i="15" s="1"/>
  <c r="BO59" i="15"/>
  <c r="BP60" i="15" a="1"/>
  <c r="BP60" i="15" s="1"/>
  <c r="BL59" i="15"/>
  <c r="BX60" i="15" a="1"/>
  <c r="BX60" i="15" s="1"/>
  <c r="V60" i="15" a="1"/>
  <c r="V60" i="15" s="1"/>
  <c r="Z60" i="15" a="1"/>
  <c r="Z60" i="15" s="1"/>
  <c r="BY60" i="15" a="1"/>
  <c r="BY60" i="15" s="1"/>
  <c r="BH72" i="15" a="1"/>
  <c r="BH72" i="15" s="1"/>
  <c r="BO72" i="15" a="1"/>
  <c r="BO72" i="15" s="1"/>
  <c r="P72" i="15" a="1"/>
  <c r="P72" i="15" s="1"/>
  <c r="AC71" i="15"/>
  <c r="AG72" i="15" a="1"/>
  <c r="AG72" i="15" s="1"/>
  <c r="CC72" i="15" a="1"/>
  <c r="CC72" i="15" s="1"/>
  <c r="BJ41" i="15"/>
  <c r="BS41" i="15"/>
  <c r="U41" i="15"/>
  <c r="AH41" i="15"/>
  <c r="AE41" i="15"/>
  <c r="AC42" i="15" a="1"/>
  <c r="AC42" i="15" s="1"/>
  <c r="BR66" i="15" a="1"/>
  <c r="BR66" i="15" s="1"/>
  <c r="BW65" i="15"/>
  <c r="T65" i="15"/>
  <c r="AD65" i="15"/>
  <c r="AD66" i="15" a="1"/>
  <c r="AD66" i="15" s="1"/>
  <c r="AI66" i="15" a="1"/>
  <c r="AI66" i="15" s="1"/>
  <c r="BI38" i="15"/>
  <c r="BK38" i="15"/>
  <c r="BI39" i="15" a="1"/>
  <c r="BI39" i="15" s="1"/>
  <c r="S38" i="15"/>
  <c r="AB39" i="15" a="1"/>
  <c r="AB39" i="15" s="1"/>
  <c r="Y39" i="15" a="1"/>
  <c r="Y39" i="15" s="1"/>
  <c r="BS50" i="15"/>
  <c r="BQ50" i="15"/>
  <c r="O50" i="15"/>
  <c r="AB50" i="15"/>
  <c r="AG51" i="15" a="1"/>
  <c r="AG51" i="15" s="1"/>
  <c r="Z50" i="15"/>
  <c r="BI62" i="15"/>
  <c r="BK62" i="15"/>
  <c r="BN63" i="15" a="1"/>
  <c r="BN63" i="15" s="1"/>
  <c r="O63" i="15" a="1"/>
  <c r="O63" i="15" s="1"/>
  <c r="AB63" i="15" a="1"/>
  <c r="AB63" i="15" s="1"/>
  <c r="T63" i="15" a="1"/>
  <c r="T63" i="15" s="1"/>
  <c r="CC63" i="15" a="1"/>
  <c r="CC63" i="15" s="1"/>
  <c r="BR74" i="15"/>
  <c r="CB74" i="15"/>
  <c r="AF74" i="15"/>
  <c r="V75" i="15" a="1"/>
  <c r="V75" i="15" s="1"/>
  <c r="AD74" i="15"/>
  <c r="BP74" i="15"/>
  <c r="J71" i="15"/>
  <c r="BE77" i="15"/>
  <c r="L80" i="15"/>
  <c r="G7" i="14" a="1"/>
  <c r="G7" i="14" s="1"/>
  <c r="G11" i="14" a="1"/>
  <c r="G11" i="14" s="1"/>
  <c r="G15" i="14" a="1"/>
  <c r="G15" i="14" s="1"/>
  <c r="F9" i="14"/>
  <c r="F13" i="14"/>
  <c r="G9" i="14" a="1"/>
  <c r="G9" i="14" s="1"/>
  <c r="F7" i="14"/>
  <c r="F11" i="14"/>
  <c r="G10" i="14" a="1"/>
  <c r="G10" i="14" s="1"/>
  <c r="G14" i="14" a="1"/>
  <c r="G14" i="14" s="1"/>
  <c r="F12" i="14"/>
  <c r="G8" i="14" a="1"/>
  <c r="G8" i="14" s="1"/>
  <c r="G12" i="14" a="1"/>
  <c r="G12" i="14" s="1"/>
  <c r="G6" i="14" a="1"/>
  <c r="G6" i="14" s="1"/>
  <c r="F10" i="14"/>
  <c r="F14" i="14"/>
  <c r="G13" i="14" a="1"/>
  <c r="G13" i="14" s="1"/>
  <c r="F15" i="14"/>
  <c r="F8" i="14"/>
  <c r="F6" i="14"/>
  <c r="J41" i="15"/>
  <c r="J53" i="15"/>
  <c r="BE62" i="15"/>
  <c r="BE56" i="15"/>
  <c r="BE50" i="15"/>
  <c r="BE44" i="15"/>
  <c r="BE38" i="15"/>
  <c r="J44" i="15"/>
  <c r="J56" i="15"/>
  <c r="L62" i="15"/>
  <c r="L56" i="15"/>
  <c r="L50" i="15"/>
  <c r="L44" i="15"/>
  <c r="L38" i="15"/>
  <c r="J38" i="15"/>
  <c r="J62" i="15"/>
  <c r="L53" i="15"/>
  <c r="L41" i="15"/>
  <c r="J47" i="15"/>
  <c r="BE59" i="15"/>
  <c r="BE47" i="15"/>
  <c r="BE35" i="15"/>
  <c r="J35" i="15"/>
  <c r="BE53" i="15"/>
  <c r="BE41" i="15"/>
  <c r="J50" i="15"/>
  <c r="L59" i="15"/>
  <c r="L47" i="15"/>
  <c r="L35" i="15"/>
  <c r="J59" i="15"/>
  <c r="O38" i="16" a="1"/>
  <c r="O38" i="16" s="1"/>
  <c r="X38" i="16" a="1"/>
  <c r="X38" i="16" s="1"/>
  <c r="AA38" i="16" a="1"/>
  <c r="AA38" i="16" s="1"/>
  <c r="L38" i="16" a="1"/>
  <c r="L38" i="16" s="1"/>
  <c r="N38" i="16" a="1"/>
  <c r="N38" i="16" s="1"/>
  <c r="V59" i="16" a="1"/>
  <c r="V59" i="16" s="1"/>
  <c r="U59" i="16" a="1"/>
  <c r="U59" i="16" s="1"/>
  <c r="X59" i="16" a="1"/>
  <c r="X59" i="16" s="1"/>
  <c r="O59" i="16" a="1"/>
  <c r="O59" i="16" s="1"/>
  <c r="R87" i="16" a="1"/>
  <c r="R87" i="16" s="1"/>
  <c r="Y87" i="16" a="1"/>
  <c r="Y87" i="16" s="1"/>
  <c r="AA87" i="16" a="1"/>
  <c r="AA87" i="16" s="1"/>
  <c r="M87" i="16" a="1"/>
  <c r="M87" i="16" s="1"/>
  <c r="S87" i="16" a="1"/>
  <c r="S87" i="16" s="1"/>
  <c r="X45" i="16" a="1"/>
  <c r="X45" i="16" s="1"/>
  <c r="W45" i="16" a="1"/>
  <c r="W45" i="16" s="1"/>
  <c r="Z45" i="16" a="1"/>
  <c r="Z45" i="16" s="1"/>
  <c r="J45" i="16" a="1"/>
  <c r="J45" i="16" s="1"/>
  <c r="Q45" i="16" a="1"/>
  <c r="Q45" i="16" s="1"/>
  <c r="AA73" i="16" a="1"/>
  <c r="AA73" i="16" s="1"/>
  <c r="M73" i="16" a="1"/>
  <c r="M73" i="16" s="1"/>
  <c r="S73" i="16" a="1"/>
  <c r="S73" i="16" s="1"/>
  <c r="V73" i="16" a="1"/>
  <c r="V73" i="16" s="1"/>
  <c r="U73" i="16" a="1"/>
  <c r="U73" i="16" s="1"/>
  <c r="S101" i="16" a="1"/>
  <c r="S101" i="16" s="1"/>
  <c r="Z101" i="16" a="1"/>
  <c r="Z101" i="16" s="1"/>
  <c r="AB101" i="16" a="1"/>
  <c r="AB101" i="16" s="1"/>
  <c r="M101" i="16" a="1"/>
  <c r="M101" i="16" s="1"/>
  <c r="L101" i="16" a="1"/>
  <c r="L101" i="16" s="1"/>
  <c r="S52" i="16" a="1"/>
  <c r="S52" i="16" s="1"/>
  <c r="AA52" i="16" a="1"/>
  <c r="AA52" i="16" s="1"/>
  <c r="N52" i="16" a="1"/>
  <c r="N52" i="16" s="1"/>
  <c r="W52" i="16" a="1"/>
  <c r="W52" i="16" s="1"/>
  <c r="V52" i="16" a="1"/>
  <c r="V52" i="16" s="1"/>
  <c r="AA80" i="16" a="1"/>
  <c r="AA80" i="16" s="1"/>
  <c r="J80" i="16" a="1"/>
  <c r="J80" i="16" s="1"/>
  <c r="R80" i="16" a="1"/>
  <c r="R80" i="16" s="1"/>
  <c r="U80" i="16" a="1"/>
  <c r="U80" i="16" s="1"/>
  <c r="X80" i="16" a="1"/>
  <c r="X80" i="16" s="1"/>
  <c r="S66" i="16" a="1"/>
  <c r="S66" i="16" s="1"/>
  <c r="Y66" i="16" a="1"/>
  <c r="Y66" i="16" s="1"/>
  <c r="AB66" i="16" a="1"/>
  <c r="AB66" i="16" s="1"/>
  <c r="J66" i="16" a="1"/>
  <c r="J66" i="16" s="1"/>
  <c r="M66" i="16" a="1"/>
  <c r="M66" i="16" s="1"/>
  <c r="S94" i="16" a="1"/>
  <c r="S94" i="16" s="1"/>
  <c r="V94" i="16" a="1"/>
  <c r="V94" i="16" s="1"/>
  <c r="Y94" i="16" a="1"/>
  <c r="Y94" i="16" s="1"/>
  <c r="J94" i="16" a="1"/>
  <c r="J94" i="16" s="1"/>
  <c r="Q94" i="16" a="1"/>
  <c r="Q94" i="16" s="1"/>
  <c r="AW59" i="16" a="1"/>
  <c r="AW59" i="16" s="1"/>
  <c r="AW66" i="16" a="1"/>
  <c r="AW66" i="16" s="1"/>
  <c r="AO94" i="16" a="1"/>
  <c r="AO94" i="16" s="1"/>
  <c r="AO80" i="16" a="1"/>
  <c r="AO80" i="16" s="1"/>
  <c r="AO52" i="16" a="1"/>
  <c r="AO52" i="16" s="1"/>
  <c r="AH66" i="16" a="1"/>
  <c r="AH66" i="16" s="1"/>
  <c r="AH87" i="16" a="1"/>
  <c r="AH87" i="16" s="1"/>
  <c r="AV87" i="16" a="1"/>
  <c r="AV87" i="16" s="1"/>
  <c r="AV52" i="16" a="1"/>
  <c r="AV52" i="16" s="1"/>
  <c r="AV38" i="16" a="1"/>
  <c r="AV38" i="16" s="1"/>
  <c r="AN87" i="16" a="1"/>
  <c r="AN87" i="16" s="1"/>
  <c r="AN59" i="16" a="1"/>
  <c r="AN59" i="16" s="1"/>
  <c r="AJ87" i="16" a="1"/>
  <c r="AJ87" i="16" s="1"/>
  <c r="AJ80" i="16" a="1"/>
  <c r="AJ80" i="16" s="1"/>
  <c r="AJ38" i="16" a="1"/>
  <c r="AJ38" i="16" s="1"/>
  <c r="AU101" i="16" a="1"/>
  <c r="AU101" i="16" s="1"/>
  <c r="AU66" i="16" a="1"/>
  <c r="AU66" i="16" s="1"/>
  <c r="AU59" i="16" a="1"/>
  <c r="AU59" i="16" s="1"/>
  <c r="AQ45" i="16" a="1"/>
  <c r="AQ45" i="16" s="1"/>
  <c r="AQ59" i="16" a="1"/>
  <c r="AQ59" i="16" s="1"/>
  <c r="AM101" i="16" a="1"/>
  <c r="AM101" i="16" s="1"/>
  <c r="AM66" i="16" a="1"/>
  <c r="AM66" i="16" s="1"/>
  <c r="AM59" i="16" a="1"/>
  <c r="AM59" i="16" s="1"/>
  <c r="AI73" i="16" a="1"/>
  <c r="AI73" i="16" s="1"/>
  <c r="AI66" i="16" a="1"/>
  <c r="AI66" i="16" s="1"/>
  <c r="AS80" i="16" a="1"/>
  <c r="AS80" i="16" s="1"/>
  <c r="AS38" i="16" a="1"/>
  <c r="AS38" i="16" s="1"/>
  <c r="AS45" i="16" a="1"/>
  <c r="AS45" i="16" s="1"/>
  <c r="AK73" i="16" a="1"/>
  <c r="AK73" i="16" s="1"/>
  <c r="AK87" i="16" a="1"/>
  <c r="AK87" i="16" s="1"/>
  <c r="AR66" i="16" a="1"/>
  <c r="AR66" i="16" s="1"/>
  <c r="AR59" i="16" a="1"/>
  <c r="AR59" i="16" s="1"/>
  <c r="AX101" i="16" a="1"/>
  <c r="AX101" i="16" s="1"/>
  <c r="AX38" i="16" a="1"/>
  <c r="AX38" i="16" s="1"/>
  <c r="AX45" i="16" a="1"/>
  <c r="AX45" i="16" s="1"/>
  <c r="AT66" i="16" a="1"/>
  <c r="AT66" i="16" s="1"/>
  <c r="AT38" i="16" a="1"/>
  <c r="AT38" i="16" s="1"/>
  <c r="AP101" i="16" a="1"/>
  <c r="AP101" i="16" s="1"/>
  <c r="AP38" i="16" a="1"/>
  <c r="AP38" i="16" s="1"/>
  <c r="AP45" i="16" a="1"/>
  <c r="AP45" i="16" s="1"/>
  <c r="AL66" i="16" a="1"/>
  <c r="AL66" i="16" s="1"/>
  <c r="AL38" i="16" a="1"/>
  <c r="AL38" i="16" s="1"/>
  <c r="J38" i="16" a="1"/>
  <c r="J38" i="16" s="1"/>
  <c r="U38" i="16" a="1"/>
  <c r="U38" i="16" s="1"/>
  <c r="W38" i="16" a="1"/>
  <c r="W38" i="16" s="1"/>
  <c r="AC38" i="16" a="1"/>
  <c r="AC38" i="16" s="1"/>
  <c r="R59" i="16" a="1"/>
  <c r="R59" i="16" s="1"/>
  <c r="Q59" i="16" a="1"/>
  <c r="Q59" i="16" s="1"/>
  <c r="T59" i="16" a="1"/>
  <c r="T59" i="16" s="1"/>
  <c r="AA59" i="16" a="1"/>
  <c r="AA59" i="16" s="1"/>
  <c r="J59" i="16" a="1"/>
  <c r="J59" i="16" s="1"/>
  <c r="O87" i="16" a="1"/>
  <c r="O87" i="16" s="1"/>
  <c r="U87" i="16" a="1"/>
  <c r="U87" i="16" s="1"/>
  <c r="X87" i="16" a="1"/>
  <c r="X87" i="16" s="1"/>
  <c r="L87" i="16" a="1"/>
  <c r="L87" i="16" s="1"/>
  <c r="T45" i="16" a="1"/>
  <c r="T45" i="16" s="1"/>
  <c r="S45" i="16" a="1"/>
  <c r="S45" i="16" s="1"/>
  <c r="V45" i="16" a="1"/>
  <c r="V45" i="16" s="1"/>
  <c r="AC45" i="16" a="1"/>
  <c r="AC45" i="16" s="1"/>
  <c r="N45" i="16" a="1"/>
  <c r="N45" i="16" s="1"/>
  <c r="X73" i="16" a="1"/>
  <c r="X73" i="16" s="1"/>
  <c r="P73" i="16" a="1"/>
  <c r="P73" i="16" s="1"/>
  <c r="O73" i="16" a="1"/>
  <c r="O73" i="16" s="1"/>
  <c r="R73" i="16" a="1"/>
  <c r="R73" i="16" s="1"/>
  <c r="O101" i="16" a="1"/>
  <c r="O101" i="16" s="1"/>
  <c r="V101" i="16" a="1"/>
  <c r="V101" i="16" s="1"/>
  <c r="Y101" i="16" a="1"/>
  <c r="Y101" i="16" s="1"/>
  <c r="X101" i="16" a="1"/>
  <c r="X101" i="16" s="1"/>
  <c r="O52" i="16" a="1"/>
  <c r="O52" i="16" s="1"/>
  <c r="X52" i="16" a="1"/>
  <c r="X52" i="16" s="1"/>
  <c r="J52" i="16" a="1"/>
  <c r="J52" i="16" s="1"/>
  <c r="T52" i="16" a="1"/>
  <c r="T52" i="16" s="1"/>
  <c r="P52" i="16" a="1"/>
  <c r="P52" i="16" s="1"/>
  <c r="W80" i="16" a="1"/>
  <c r="W80" i="16" s="1"/>
  <c r="N80" i="16" a="1"/>
  <c r="N80" i="16" s="1"/>
  <c r="Q80" i="16" a="1"/>
  <c r="Q80" i="16" s="1"/>
  <c r="T80" i="16" a="1"/>
  <c r="T80" i="16" s="1"/>
  <c r="O66" i="16" a="1"/>
  <c r="O66" i="16" s="1"/>
  <c r="U66" i="16" a="1"/>
  <c r="U66" i="16" s="1"/>
  <c r="X66" i="16" a="1"/>
  <c r="X66" i="16" s="1"/>
  <c r="AA66" i="16" a="1"/>
  <c r="AA66" i="16" s="1"/>
  <c r="M94" i="16" a="1"/>
  <c r="M94" i="16" s="1"/>
  <c r="P94" i="16" a="1"/>
  <c r="P94" i="16" s="1"/>
  <c r="U94" i="16" a="1"/>
  <c r="U94" i="16" s="1"/>
  <c r="AB94" i="16" a="1"/>
  <c r="AB94" i="16" s="1"/>
  <c r="N94" i="16" a="1"/>
  <c r="N94" i="16" s="1"/>
  <c r="AW73" i="16" a="1"/>
  <c r="AW73" i="16" s="1"/>
  <c r="AW38" i="16" a="1"/>
  <c r="AW38" i="16" s="1"/>
  <c r="AW45" i="16" a="1"/>
  <c r="AW45" i="16" s="1"/>
  <c r="AO87" i="16" a="1"/>
  <c r="AO87" i="16" s="1"/>
  <c r="AO66" i="16" a="1"/>
  <c r="AO66" i="16" s="1"/>
  <c r="AH80" i="16" a="1"/>
  <c r="AH80" i="16" s="1"/>
  <c r="AH38" i="16" a="1"/>
  <c r="AH38" i="16" s="1"/>
  <c r="AH52" i="16" a="1"/>
  <c r="AH52" i="16" s="1"/>
  <c r="AV80" i="16" a="1"/>
  <c r="AV80" i="16" s="1"/>
  <c r="AV94" i="16" a="1"/>
  <c r="AV94" i="16" s="1"/>
  <c r="AN101" i="16" a="1"/>
  <c r="AN101" i="16" s="1"/>
  <c r="AN52" i="16" a="1"/>
  <c r="AN52" i="16" s="1"/>
  <c r="AN45" i="16" a="1"/>
  <c r="AN45" i="16" s="1"/>
  <c r="AJ66" i="16" a="1"/>
  <c r="AJ66" i="16" s="1"/>
  <c r="AJ52" i="16" a="1"/>
  <c r="AJ52" i="16" s="1"/>
  <c r="AU73" i="16" a="1"/>
  <c r="AU73" i="16" s="1"/>
  <c r="AU52" i="16" a="1"/>
  <c r="AU52" i="16" s="1"/>
  <c r="AQ87" i="16" a="1"/>
  <c r="AQ87" i="16" s="1"/>
  <c r="AQ73" i="16" a="1"/>
  <c r="AQ73" i="16" s="1"/>
  <c r="AQ66" i="16" a="1"/>
  <c r="AQ66" i="16" s="1"/>
  <c r="AM73" i="16" a="1"/>
  <c r="AM73" i="16" s="1"/>
  <c r="AM87" i="16" a="1"/>
  <c r="AM87" i="16" s="1"/>
  <c r="AI87" i="16" a="1"/>
  <c r="AI87" i="16" s="1"/>
  <c r="AI94" i="16" a="1"/>
  <c r="AI94" i="16" s="1"/>
  <c r="AI52" i="16" a="1"/>
  <c r="AI52" i="16" s="1"/>
  <c r="AS94" i="16" a="1"/>
  <c r="AS94" i="16" s="1"/>
  <c r="AS59" i="16" a="1"/>
  <c r="AS59" i="16" s="1"/>
  <c r="AK101" i="16" a="1"/>
  <c r="AK101" i="16" s="1"/>
  <c r="AK52" i="16" a="1"/>
  <c r="AK52" i="16" s="1"/>
  <c r="AK59" i="16" a="1"/>
  <c r="AK59" i="16" s="1"/>
  <c r="AR94" i="16" a="1"/>
  <c r="AR94" i="16" s="1"/>
  <c r="AR80" i="16" a="1"/>
  <c r="AR80" i="16" s="1"/>
  <c r="AR101" i="16" a="1"/>
  <c r="AR101" i="16" s="1"/>
  <c r="AX94" i="16" a="1"/>
  <c r="AX94" i="16" s="1"/>
  <c r="AX52" i="16" a="1"/>
  <c r="AX52" i="16" s="1"/>
  <c r="AT87" i="16" a="1"/>
  <c r="AT87" i="16" s="1"/>
  <c r="AT59" i="16" a="1"/>
  <c r="AT59" i="16" s="1"/>
  <c r="AT80" i="16" a="1"/>
  <c r="AT80" i="16" s="1"/>
  <c r="AP94" i="16" a="1"/>
  <c r="AP94" i="16" s="1"/>
  <c r="AP52" i="16" a="1"/>
  <c r="AP52" i="16" s="1"/>
  <c r="AL87" i="16" a="1"/>
  <c r="AL87" i="16" s="1"/>
  <c r="AL59" i="16" a="1"/>
  <c r="AL59" i="16" s="1"/>
  <c r="AL73" i="16" a="1"/>
  <c r="AL73" i="16" s="1"/>
  <c r="AB38" i="16" a="1"/>
  <c r="AB38" i="16" s="1"/>
  <c r="P38" i="16" a="1"/>
  <c r="P38" i="16" s="1"/>
  <c r="AC59" i="16" a="1"/>
  <c r="AC59" i="16" s="1"/>
  <c r="M59" i="16" a="1"/>
  <c r="M59" i="16" s="1"/>
  <c r="W59" i="16" a="1"/>
  <c r="W59" i="16" s="1"/>
  <c r="J87" i="16" a="1"/>
  <c r="J87" i="16" s="1"/>
  <c r="T87" i="16" a="1"/>
  <c r="T87" i="16" s="1"/>
  <c r="J44" i="16"/>
  <c r="L45" i="16" a="1"/>
  <c r="L45" i="16" s="1"/>
  <c r="Y45" i="16" a="1"/>
  <c r="Y45" i="16" s="1"/>
  <c r="T73" i="16" a="1"/>
  <c r="T73" i="16" s="1"/>
  <c r="AC73" i="16" a="1"/>
  <c r="AC73" i="16" s="1"/>
  <c r="N73" i="16" a="1"/>
  <c r="N73" i="16" s="1"/>
  <c r="W101" i="16" a="1"/>
  <c r="W101" i="16" s="1"/>
  <c r="N101" i="16" a="1"/>
  <c r="N101" i="16" s="1"/>
  <c r="P101" i="16" a="1"/>
  <c r="P101" i="16" s="1"/>
  <c r="L52" i="16" a="1"/>
  <c r="L52" i="16" s="1"/>
  <c r="AC52" i="16" a="1"/>
  <c r="AC52" i="16" s="1"/>
  <c r="M52" i="16" a="1"/>
  <c r="M52" i="16" s="1"/>
  <c r="Z80" i="16" a="1"/>
  <c r="Z80" i="16" s="1"/>
  <c r="M80" i="16" a="1"/>
  <c r="M80" i="16" s="1"/>
  <c r="AC66" i="16" a="1"/>
  <c r="AC66" i="16" s="1"/>
  <c r="Q66" i="16" a="1"/>
  <c r="Q66" i="16" s="1"/>
  <c r="AA94" i="16" a="1"/>
  <c r="AA94" i="16" s="1"/>
  <c r="L94" i="16" a="1"/>
  <c r="L94" i="16" s="1"/>
  <c r="X94" i="16" a="1"/>
  <c r="X94" i="16" s="1"/>
  <c r="AW80" i="16" a="1"/>
  <c r="AW80" i="16" s="1"/>
  <c r="AO38" i="16" a="1"/>
  <c r="AO38" i="16" s="1"/>
  <c r="AH94" i="16" a="1"/>
  <c r="AH94" i="16" s="1"/>
  <c r="AV101" i="16" a="1"/>
  <c r="AV101" i="16" s="1"/>
  <c r="AV45" i="16" a="1"/>
  <c r="AV45" i="16" s="1"/>
  <c r="AN73" i="16" a="1"/>
  <c r="AN73" i="16" s="1"/>
  <c r="AJ45" i="16" a="1"/>
  <c r="AJ45" i="16" s="1"/>
  <c r="AU94" i="16" a="1"/>
  <c r="AU94" i="16" s="1"/>
  <c r="AU80" i="16" a="1"/>
  <c r="AU80" i="16" s="1"/>
  <c r="AQ94" i="16" a="1"/>
  <c r="AQ94" i="16" s="1"/>
  <c r="AM45" i="16" a="1"/>
  <c r="AM45" i="16" s="1"/>
  <c r="AI80" i="16" a="1"/>
  <c r="AI80" i="16" s="1"/>
  <c r="AS101" i="16" a="1"/>
  <c r="AS101" i="16" s="1"/>
  <c r="AS73" i="16" a="1"/>
  <c r="AS73" i="16" s="1"/>
  <c r="AK66" i="16" a="1"/>
  <c r="AK66" i="16" s="1"/>
  <c r="AR87" i="16" a="1"/>
  <c r="AR87" i="16" s="1"/>
  <c r="AX80" i="16" a="1"/>
  <c r="AX80" i="16" s="1"/>
  <c r="AX59" i="16" a="1"/>
  <c r="AX59" i="16" s="1"/>
  <c r="AT45" i="16" a="1"/>
  <c r="AT45" i="16" s="1"/>
  <c r="AP66" i="16" a="1"/>
  <c r="AP66" i="16" s="1"/>
  <c r="AL101" i="16" a="1"/>
  <c r="AL101" i="16" s="1"/>
  <c r="S38" i="16" a="1"/>
  <c r="S38" i="16" s="1"/>
  <c r="M38" i="16" a="1"/>
  <c r="M38" i="16" s="1"/>
  <c r="R38" i="16" a="1"/>
  <c r="R38" i="16" s="1"/>
  <c r="N59" i="16" a="1"/>
  <c r="N59" i="16" s="1"/>
  <c r="P59" i="16" a="1"/>
  <c r="P59" i="16" s="1"/>
  <c r="AC87" i="16" a="1"/>
  <c r="AC87" i="16" s="1"/>
  <c r="Q87" i="16" a="1"/>
  <c r="Q87" i="16" s="1"/>
  <c r="Z87" i="16" a="1"/>
  <c r="Z87" i="16" s="1"/>
  <c r="M45" i="16" a="1"/>
  <c r="M45" i="16" s="1"/>
  <c r="R45" i="16" a="1"/>
  <c r="R45" i="16" s="1"/>
  <c r="P45" i="16" a="1"/>
  <c r="P45" i="16" s="1"/>
  <c r="Z73" i="16" a="1"/>
  <c r="Z73" i="16" s="1"/>
  <c r="L73" i="16" a="1"/>
  <c r="L73" i="16" s="1"/>
  <c r="AC101" i="16" a="1"/>
  <c r="AC101" i="16" s="1"/>
  <c r="Q101" i="16" a="1"/>
  <c r="Q101" i="16" s="1"/>
  <c r="U52" i="16" a="1"/>
  <c r="U52" i="16" s="1"/>
  <c r="Q52" i="16" a="1"/>
  <c r="Q52" i="16" s="1"/>
  <c r="S80" i="16" a="1"/>
  <c r="S80" i="16" s="1"/>
  <c r="AC80" i="16" a="1"/>
  <c r="AC80" i="16" s="1"/>
  <c r="P80" i="16" a="1"/>
  <c r="P80" i="16" s="1"/>
  <c r="V66" i="16" a="1"/>
  <c r="V66" i="16" s="1"/>
  <c r="N66" i="16" a="1"/>
  <c r="N66" i="16" s="1"/>
  <c r="P66" i="16" a="1"/>
  <c r="P66" i="16" s="1"/>
  <c r="R94" i="16" a="1"/>
  <c r="R94" i="16" s="1"/>
  <c r="AW87" i="16" a="1"/>
  <c r="AW87" i="16" s="1"/>
  <c r="AO73" i="16" a="1"/>
  <c r="AO73" i="16" s="1"/>
  <c r="AO101" i="16" a="1"/>
  <c r="AO101" i="16" s="1"/>
  <c r="AH73" i="16" a="1"/>
  <c r="AH73" i="16" s="1"/>
  <c r="AV73" i="16" a="1"/>
  <c r="AV73" i="16" s="1"/>
  <c r="AN66" i="16" a="1"/>
  <c r="AN66" i="16" s="1"/>
  <c r="AJ94" i="16" a="1"/>
  <c r="AJ94" i="16" s="1"/>
  <c r="AJ73" i="16" a="1"/>
  <c r="AJ73" i="16" s="1"/>
  <c r="AU87" i="16" a="1"/>
  <c r="AU87" i="16" s="1"/>
  <c r="AQ80" i="16" a="1"/>
  <c r="AQ80" i="16" s="1"/>
  <c r="AM94" i="16" a="1"/>
  <c r="AM94" i="16" s="1"/>
  <c r="AM38" i="16" a="1"/>
  <c r="AM38" i="16" s="1"/>
  <c r="AI59" i="16" a="1"/>
  <c r="AI59" i="16" s="1"/>
  <c r="AS52" i="16" a="1"/>
  <c r="AS52" i="16" s="1"/>
  <c r="AK94" i="16" a="1"/>
  <c r="AK94" i="16" s="1"/>
  <c r="AR52" i="16" a="1"/>
  <c r="AR52" i="16" s="1"/>
  <c r="AX66" i="16" a="1"/>
  <c r="AX66" i="16" s="1"/>
  <c r="AT101" i="16" a="1"/>
  <c r="AT101" i="16" s="1"/>
  <c r="AP80" i="16" a="1"/>
  <c r="AP80" i="16" s="1"/>
  <c r="AP87" i="16" a="1"/>
  <c r="AP87" i="16" s="1"/>
  <c r="AL45" i="16" a="1"/>
  <c r="AL45" i="16" s="1"/>
  <c r="T38" i="16" a="1"/>
  <c r="T38" i="16" s="1"/>
  <c r="Y59" i="16" a="1"/>
  <c r="Y59" i="16" s="1"/>
  <c r="V87" i="16" a="1"/>
  <c r="V87" i="16" s="1"/>
  <c r="W87" i="16" a="1"/>
  <c r="W87" i="16" s="1"/>
  <c r="O45" i="16" a="1"/>
  <c r="O45" i="16" s="1"/>
  <c r="W73" i="16" a="1"/>
  <c r="W73" i="16" s="1"/>
  <c r="U101" i="16" a="1"/>
  <c r="U101" i="16" s="1"/>
  <c r="Y52" i="16" a="1"/>
  <c r="Y52" i="16" s="1"/>
  <c r="AB52" i="16" a="1"/>
  <c r="AB52" i="16" s="1"/>
  <c r="Y80" i="16" a="1"/>
  <c r="Y80" i="16" s="1"/>
  <c r="Z66" i="16" a="1"/>
  <c r="Z66" i="16" s="1"/>
  <c r="W66" i="16" a="1"/>
  <c r="W66" i="16" s="1"/>
  <c r="AC94" i="16" a="1"/>
  <c r="AC94" i="16" s="1"/>
  <c r="AO59" i="16" a="1"/>
  <c r="AO59" i="16" s="1"/>
  <c r="AH45" i="16" a="1"/>
  <c r="AH45" i="16" s="1"/>
  <c r="AN94" i="16" a="1"/>
  <c r="AN94" i="16" s="1"/>
  <c r="AU38" i="16" a="1"/>
  <c r="AU38" i="16" s="1"/>
  <c r="AM80" i="16" a="1"/>
  <c r="AM80" i="16" s="1"/>
  <c r="AI38" i="16" a="1"/>
  <c r="AI38" i="16" s="1"/>
  <c r="AK38" i="16" a="1"/>
  <c r="AK38" i="16" s="1"/>
  <c r="AR73" i="16" a="1"/>
  <c r="AR73" i="16" s="1"/>
  <c r="AX87" i="16" a="1"/>
  <c r="AX87" i="16" s="1"/>
  <c r="AP73" i="16" a="1"/>
  <c r="AP73" i="16" s="1"/>
  <c r="AL52" i="16" a="1"/>
  <c r="AL52" i="16" s="1"/>
  <c r="Z38" i="16" a="1"/>
  <c r="Z38" i="16" s="1"/>
  <c r="Y38" i="16" a="1"/>
  <c r="Y38" i="16" s="1"/>
  <c r="AB59" i="16" a="1"/>
  <c r="AB59" i="16" s="1"/>
  <c r="AB87" i="16" a="1"/>
  <c r="AB87" i="16" s="1"/>
  <c r="AB45" i="16" a="1"/>
  <c r="AB45" i="16" s="1"/>
  <c r="U45" i="16" a="1"/>
  <c r="U45" i="16" s="1"/>
  <c r="Y73" i="16" a="1"/>
  <c r="Y73" i="16" s="1"/>
  <c r="AA101" i="16" a="1"/>
  <c r="AA101" i="16" s="1"/>
  <c r="T101" i="16" a="1"/>
  <c r="T101" i="16" s="1"/>
  <c r="AB80" i="16" a="1"/>
  <c r="AB80" i="16" s="1"/>
  <c r="L66" i="16" a="1"/>
  <c r="L66" i="16" s="1"/>
  <c r="O94" i="16" a="1"/>
  <c r="O94" i="16" s="1"/>
  <c r="AW94" i="16" a="1"/>
  <c r="AW94" i="16" s="1"/>
  <c r="AO45" i="16" a="1"/>
  <c r="AO45" i="16" s="1"/>
  <c r="AV66" i="16" a="1"/>
  <c r="AV66" i="16" s="1"/>
  <c r="AN38" i="16" a="1"/>
  <c r="AN38" i="16" s="1"/>
  <c r="AQ101" i="16" a="1"/>
  <c r="AQ101" i="16" s="1"/>
  <c r="AM52" i="16" a="1"/>
  <c r="AM52" i="16" s="1"/>
  <c r="AS87" i="16" a="1"/>
  <c r="AS87" i="16" s="1"/>
  <c r="AK45" i="16" a="1"/>
  <c r="AK45" i="16" s="1"/>
  <c r="AR45" i="16" a="1"/>
  <c r="AR45" i="16" s="1"/>
  <c r="AT94" i="16" a="1"/>
  <c r="AT94" i="16" s="1"/>
  <c r="AP59" i="16" a="1"/>
  <c r="AP59" i="16" s="1"/>
  <c r="Z59" i="16" a="1"/>
  <c r="Z59" i="16" s="1"/>
  <c r="P87" i="16" a="1"/>
  <c r="P87" i="16" s="1"/>
  <c r="J73" i="16" a="1"/>
  <c r="J73" i="16" s="1"/>
  <c r="R52" i="16" a="1"/>
  <c r="R52" i="16" s="1"/>
  <c r="V80" i="16" a="1"/>
  <c r="V80" i="16" s="1"/>
  <c r="W94" i="16" a="1"/>
  <c r="W94" i="16" s="1"/>
  <c r="AW52" i="16" a="1"/>
  <c r="AW52" i="16" s="1"/>
  <c r="AN80" i="16" a="1"/>
  <c r="AN80" i="16" s="1"/>
  <c r="AU45" i="16" a="1"/>
  <c r="AU45" i="16" s="1"/>
  <c r="AI45" i="16" a="1"/>
  <c r="AI45" i="16" s="1"/>
  <c r="AT52" i="16" a="1"/>
  <c r="AT52" i="16" s="1"/>
  <c r="V38" i="16" a="1"/>
  <c r="V38" i="16" s="1"/>
  <c r="L59" i="16" a="1"/>
  <c r="L59" i="16" s="1"/>
  <c r="Z52" i="16" a="1"/>
  <c r="Z52" i="16" s="1"/>
  <c r="L80" i="16" a="1"/>
  <c r="L80" i="16" s="1"/>
  <c r="R66" i="16" a="1"/>
  <c r="R66" i="16" s="1"/>
  <c r="Z94" i="16" a="1"/>
  <c r="Z94" i="16" s="1"/>
  <c r="AH101" i="16" a="1"/>
  <c r="AH101" i="16" s="1"/>
  <c r="AJ101" i="16" a="1"/>
  <c r="AJ101" i="16" s="1"/>
  <c r="AQ52" i="16" a="1"/>
  <c r="AQ52" i="16" s="1"/>
  <c r="AS66" i="16" a="1"/>
  <c r="AS66" i="16" s="1"/>
  <c r="AR38" i="16" a="1"/>
  <c r="AR38" i="16" s="1"/>
  <c r="AL94" i="16" a="1"/>
  <c r="AL94" i="16" s="1"/>
  <c r="N87" i="16" a="1"/>
  <c r="N87" i="16" s="1"/>
  <c r="Q73" i="16" a="1"/>
  <c r="Q73" i="16" s="1"/>
  <c r="R101" i="16" a="1"/>
  <c r="R101" i="16" s="1"/>
  <c r="O80" i="16" a="1"/>
  <c r="O80" i="16" s="1"/>
  <c r="T94" i="16" a="1"/>
  <c r="T94" i="16" s="1"/>
  <c r="AV59" i="16" a="1"/>
  <c r="AV59" i="16" s="1"/>
  <c r="AI101" i="16" a="1"/>
  <c r="AI101" i="16" s="1"/>
  <c r="AT73" i="16" a="1"/>
  <c r="AT73" i="16" s="1"/>
  <c r="AB73" i="16" a="1"/>
  <c r="AB73" i="16" s="1"/>
  <c r="AJ59" i="16" a="1"/>
  <c r="AJ59" i="16" s="1"/>
  <c r="AK80" i="16" a="1"/>
  <c r="AK80" i="16" s="1"/>
  <c r="AL80" i="16" a="1"/>
  <c r="AL80" i="16" s="1"/>
  <c r="AA45" i="16" a="1"/>
  <c r="AA45" i="16" s="1"/>
  <c r="T66" i="16" a="1"/>
  <c r="T66" i="16" s="1"/>
  <c r="AW101" i="16" a="1"/>
  <c r="AW101" i="16" s="1"/>
  <c r="Q38" i="16" a="1"/>
  <c r="Q38" i="16" s="1"/>
  <c r="S59" i="16" a="1"/>
  <c r="S59" i="16" s="1"/>
  <c r="J101" i="16" a="1"/>
  <c r="J101" i="16" s="1"/>
  <c r="AH59" i="16" a="1"/>
  <c r="AH59" i="16" s="1"/>
  <c r="AQ38" i="16" a="1"/>
  <c r="AQ38" i="16" s="1"/>
  <c r="AX73" i="16" a="1"/>
  <c r="AX73" i="16" s="1"/>
  <c r="Z100" i="16"/>
  <c r="R100" i="16"/>
  <c r="N100" i="16"/>
  <c r="Z93" i="16"/>
  <c r="V93" i="16"/>
  <c r="AR86" i="16"/>
  <c r="AA86" i="16"/>
  <c r="S86" i="16"/>
  <c r="J86" i="16"/>
  <c r="S79" i="16"/>
  <c r="O79" i="16"/>
  <c r="AL72" i="16"/>
  <c r="X72" i="16"/>
  <c r="T72" i="16"/>
  <c r="P72" i="16"/>
  <c r="AO65" i="16"/>
  <c r="AB65" i="16"/>
  <c r="P65" i="16"/>
  <c r="L65" i="16"/>
  <c r="AC58" i="16"/>
  <c r="Y58" i="16"/>
  <c r="M58" i="16"/>
  <c r="AC51" i="16"/>
  <c r="Q51" i="16"/>
  <c r="AO44" i="16"/>
  <c r="V44" i="16"/>
  <c r="N44" i="16"/>
  <c r="Z37" i="16"/>
  <c r="N37" i="16"/>
  <c r="AM44" i="16"/>
  <c r="AL37" i="16"/>
  <c r="AO72" i="16"/>
  <c r="AJ72" i="16"/>
  <c r="AQ100" i="16"/>
  <c r="AM100" i="16"/>
  <c r="AL58" i="16"/>
  <c r="AX65" i="16"/>
  <c r="AY68" i="16" s="1"/>
  <c r="AH65" i="16"/>
  <c r="AX51" i="16"/>
  <c r="AY54" i="16" s="1"/>
  <c r="AC100" i="16"/>
  <c r="Y100" i="16"/>
  <c r="U100" i="16"/>
  <c r="Q100" i="16"/>
  <c r="M100" i="16"/>
  <c r="AC93" i="16"/>
  <c r="Y93" i="16"/>
  <c r="U93" i="16"/>
  <c r="Q93" i="16"/>
  <c r="M93" i="16"/>
  <c r="AW86" i="16"/>
  <c r="AO86" i="16"/>
  <c r="Z86" i="16"/>
  <c r="V86" i="16"/>
  <c r="R86" i="16"/>
  <c r="N86" i="16"/>
  <c r="Z79" i="16"/>
  <c r="V79" i="16"/>
  <c r="R79" i="16"/>
  <c r="N79" i="16"/>
  <c r="AX72" i="16"/>
  <c r="AY75" i="16" s="1"/>
  <c r="AH72" i="16"/>
  <c r="AA72" i="16"/>
  <c r="W72" i="16"/>
  <c r="S72" i="16"/>
  <c r="O72" i="16"/>
  <c r="J72" i="16"/>
  <c r="AK65" i="16"/>
  <c r="AA65" i="16"/>
  <c r="W65" i="16"/>
  <c r="S65" i="16"/>
  <c r="O65" i="16"/>
  <c r="J65" i="16"/>
  <c r="AS58" i="16"/>
  <c r="AK58" i="16"/>
  <c r="AB58" i="16"/>
  <c r="X58" i="16"/>
  <c r="T58" i="16"/>
  <c r="P58" i="16"/>
  <c r="L58" i="16"/>
  <c r="AB51" i="16"/>
  <c r="X51" i="16"/>
  <c r="T51" i="16"/>
  <c r="P51" i="16"/>
  <c r="L51" i="16"/>
  <c r="AT44" i="16"/>
  <c r="AL44" i="16"/>
  <c r="AC44" i="16"/>
  <c r="Y44" i="16"/>
  <c r="U44" i="16"/>
  <c r="Q44" i="16"/>
  <c r="M44" i="16"/>
  <c r="AV37" i="16"/>
  <c r="AN37" i="16"/>
  <c r="AC37" i="16"/>
  <c r="Y37" i="16"/>
  <c r="U37" i="16"/>
  <c r="Q37" i="16"/>
  <c r="M37" i="16"/>
  <c r="AR44" i="16"/>
  <c r="AJ44" i="16"/>
  <c r="AQ37" i="16"/>
  <c r="AI37" i="16"/>
  <c r="AQ79" i="16"/>
  <c r="AS72" i="16"/>
  <c r="AN72" i="16"/>
  <c r="AI72" i="16"/>
  <c r="AX100" i="16"/>
  <c r="AY103" i="16" s="1"/>
  <c r="AT100" i="16"/>
  <c r="AP100" i="16"/>
  <c r="AL100" i="16"/>
  <c r="AH100" i="16"/>
  <c r="AQ58" i="16"/>
  <c r="AI58" i="16"/>
  <c r="AV65" i="16"/>
  <c r="AQ65" i="16"/>
  <c r="AL65" i="16"/>
  <c r="AW51" i="16"/>
  <c r="AQ51" i="16"/>
  <c r="AJ51" i="16"/>
  <c r="AB100" i="16"/>
  <c r="X100" i="16"/>
  <c r="T100" i="16"/>
  <c r="P100" i="16"/>
  <c r="AB93" i="16"/>
  <c r="X93" i="16"/>
  <c r="T93" i="16"/>
  <c r="P93" i="16"/>
  <c r="AV86" i="16"/>
  <c r="AN86" i="16"/>
  <c r="AC86" i="16"/>
  <c r="U86" i="16"/>
  <c r="Q86" i="16"/>
  <c r="M86" i="16"/>
  <c r="Y79" i="16"/>
  <c r="U79" i="16"/>
  <c r="M79" i="16"/>
  <c r="AT72" i="16"/>
  <c r="Z72" i="16"/>
  <c r="V72" i="16"/>
  <c r="N72" i="16"/>
  <c r="Z65" i="16"/>
  <c r="R65" i="16"/>
  <c r="N65" i="16"/>
  <c r="AR58" i="16"/>
  <c r="AJ58" i="16"/>
  <c r="W58" i="16"/>
  <c r="S58" i="16"/>
  <c r="J58" i="16"/>
  <c r="AA51" i="16"/>
  <c r="S51" i="16"/>
  <c r="O51" i="16"/>
  <c r="J51" i="16"/>
  <c r="AS44" i="16"/>
  <c r="AB44" i="16"/>
  <c r="X44" i="16"/>
  <c r="T44" i="16"/>
  <c r="L44" i="16"/>
  <c r="AS37" i="16"/>
  <c r="AB37" i="16"/>
  <c r="X37" i="16"/>
  <c r="T37" i="16"/>
  <c r="L37" i="16"/>
  <c r="AI44" i="16"/>
  <c r="AX37" i="16"/>
  <c r="AY40" i="16" s="1"/>
  <c r="AY41" i="16" s="1"/>
  <c r="AP37" i="16"/>
  <c r="AH37" i="16"/>
  <c r="AI79" i="16"/>
  <c r="AR72" i="16"/>
  <c r="AM72" i="16"/>
  <c r="AW100" i="16"/>
  <c r="AO100" i="16"/>
  <c r="AK100" i="16"/>
  <c r="AP58" i="16"/>
  <c r="AH58" i="16"/>
  <c r="AP65" i="16"/>
  <c r="AJ65" i="16"/>
  <c r="AU51" i="16"/>
  <c r="AP51" i="16"/>
  <c r="N93" i="16"/>
  <c r="W86" i="16"/>
  <c r="AA79" i="16"/>
  <c r="X65" i="16"/>
  <c r="AN58" i="16"/>
  <c r="U58" i="16"/>
  <c r="Y51" i="16"/>
  <c r="M51" i="16"/>
  <c r="R44" i="16"/>
  <c r="AO37" i="16"/>
  <c r="V37" i="16"/>
  <c r="AT37" i="16"/>
  <c r="AU100" i="16"/>
  <c r="AT58" i="16"/>
  <c r="AM65" i="16"/>
  <c r="AM51" i="16"/>
  <c r="L100" i="16"/>
  <c r="L93" i="16"/>
  <c r="Y86" i="16"/>
  <c r="AC79" i="16"/>
  <c r="Q79" i="16"/>
  <c r="R72" i="16"/>
  <c r="AW65" i="16"/>
  <c r="V65" i="16"/>
  <c r="AA58" i="16"/>
  <c r="O58" i="16"/>
  <c r="W51" i="16"/>
  <c r="AK44" i="16"/>
  <c r="P44" i="16"/>
  <c r="AK37" i="16"/>
  <c r="P37" i="16"/>
  <c r="AQ44" i="16"/>
  <c r="AW72" i="16"/>
  <c r="AS100" i="16"/>
  <c r="AX58" i="16"/>
  <c r="AY61" i="16" s="1"/>
  <c r="AU65" i="16"/>
  <c r="AI51" i="16"/>
  <c r="V100" i="16"/>
  <c r="R93" i="16"/>
  <c r="AJ86" i="16"/>
  <c r="O86" i="16"/>
  <c r="W79" i="16"/>
  <c r="J79" i="16"/>
  <c r="AB72" i="16"/>
  <c r="L72" i="16"/>
  <c r="T65" i="16"/>
  <c r="AV58" i="16"/>
  <c r="Q58" i="16"/>
  <c r="U51" i="16"/>
  <c r="AW44" i="16"/>
  <c r="Z44" i="16"/>
  <c r="AW37" i="16"/>
  <c r="R37" i="16"/>
  <c r="AU44" i="16"/>
  <c r="AU72" i="16"/>
  <c r="AI100" i="16"/>
  <c r="AR65" i="16"/>
  <c r="AR51" i="16"/>
  <c r="AA100" i="16"/>
  <c r="W100" i="16"/>
  <c r="S100" i="16"/>
  <c r="O100" i="16"/>
  <c r="J100" i="16"/>
  <c r="AA93" i="16"/>
  <c r="W93" i="16"/>
  <c r="S93" i="16"/>
  <c r="O93" i="16"/>
  <c r="J93" i="16"/>
  <c r="AS86" i="16"/>
  <c r="AK86" i="16"/>
  <c r="AB86" i="16"/>
  <c r="X86" i="16"/>
  <c r="T86" i="16"/>
  <c r="P86" i="16"/>
  <c r="L86" i="16"/>
  <c r="AB79" i="16"/>
  <c r="X79" i="16"/>
  <c r="T79" i="16"/>
  <c r="P79" i="16"/>
  <c r="L79" i="16"/>
  <c r="AP72" i="16"/>
  <c r="AC72" i="16"/>
  <c r="Y72" i="16"/>
  <c r="U72" i="16"/>
  <c r="Q72" i="16"/>
  <c r="M72" i="16"/>
  <c r="AS65" i="16"/>
  <c r="AC65" i="16"/>
  <c r="Y65" i="16"/>
  <c r="U65" i="16"/>
  <c r="Q65" i="16"/>
  <c r="M65" i="16"/>
  <c r="AW58" i="16"/>
  <c r="AO58" i="16"/>
  <c r="Z58" i="16"/>
  <c r="V58" i="16"/>
  <c r="R58" i="16"/>
  <c r="N58" i="16"/>
  <c r="Z51" i="16"/>
  <c r="V51" i="16"/>
  <c r="R51" i="16"/>
  <c r="N51" i="16"/>
  <c r="AX44" i="16"/>
  <c r="AY47" i="16" s="1"/>
  <c r="AP44" i="16"/>
  <c r="AH44" i="16"/>
  <c r="AA44" i="16"/>
  <c r="W44" i="16"/>
  <c r="S44" i="16"/>
  <c r="O44" i="16"/>
  <c r="AR37" i="16"/>
  <c r="AJ37" i="16"/>
  <c r="AA37" i="16"/>
  <c r="W37" i="16"/>
  <c r="S37" i="16"/>
  <c r="O37" i="16"/>
  <c r="J37" i="16"/>
  <c r="AV44" i="16"/>
  <c r="AN44" i="16"/>
  <c r="AU37" i="16"/>
  <c r="AM37" i="16"/>
  <c r="AV72" i="16"/>
  <c r="AQ72" i="16"/>
  <c r="AK72" i="16"/>
  <c r="AV100" i="16"/>
  <c r="AR100" i="16"/>
  <c r="AN100" i="16"/>
  <c r="AJ100" i="16"/>
  <c r="AU58" i="16"/>
  <c r="AM58" i="16"/>
  <c r="AT65" i="16"/>
  <c r="AN65" i="16"/>
  <c r="AI65" i="16"/>
  <c r="AS51" i="16"/>
  <c r="AO51" i="16"/>
  <c r="AH51" i="16"/>
  <c r="AM79" i="16"/>
  <c r="AR93" i="16"/>
  <c r="AV51" i="16"/>
  <c r="AV79" i="16"/>
  <c r="AS93" i="16"/>
  <c r="AO79" i="16"/>
  <c r="AL86" i="16"/>
  <c r="AI93" i="16"/>
  <c r="AL93" i="16"/>
  <c r="AL51" i="16"/>
  <c r="AP79" i="16"/>
  <c r="AM86" i="16"/>
  <c r="AU79" i="16"/>
  <c r="AV93" i="16"/>
  <c r="AJ79" i="16"/>
  <c r="AW93" i="16"/>
  <c r="AS79" i="16"/>
  <c r="AP86" i="16"/>
  <c r="AQ93" i="16"/>
  <c r="AP93" i="16"/>
  <c r="AT51" i="16"/>
  <c r="AT79" i="16"/>
  <c r="AQ86" i="16"/>
  <c r="AM93" i="16"/>
  <c r="AJ93" i="16"/>
  <c r="AN79" i="16"/>
  <c r="AK93" i="16"/>
  <c r="AK51" i="16"/>
  <c r="AW79" i="16"/>
  <c r="AT86" i="16"/>
  <c r="AT93" i="16"/>
  <c r="AH79" i="16"/>
  <c r="AX79" i="16"/>
  <c r="AY82" i="16" s="1"/>
  <c r="AU86" i="16"/>
  <c r="AN93" i="16"/>
  <c r="AK79" i="16"/>
  <c r="AX93" i="16"/>
  <c r="AY96" i="16" s="1"/>
  <c r="AN51" i="16"/>
  <c r="AH86" i="16"/>
  <c r="AL79" i="16"/>
  <c r="AU93" i="16"/>
  <c r="AH93" i="16"/>
  <c r="AR79" i="16"/>
  <c r="AX86" i="16"/>
  <c r="AY89" i="16" s="1"/>
  <c r="AI86" i="16"/>
  <c r="AO93" i="16"/>
  <c r="R57" i="18"/>
  <c r="L54" i="18"/>
  <c r="Z53" i="18"/>
  <c r="AQ78" i="18"/>
  <c r="AR78" i="18"/>
  <c r="AS78" i="18"/>
  <c r="AT78" i="18"/>
  <c r="AR86" i="18"/>
  <c r="AS86" i="18"/>
  <c r="AT86" i="18"/>
  <c r="AR94" i="18"/>
  <c r="AS94" i="18"/>
  <c r="AT93" i="18"/>
  <c r="AQ82" i="18"/>
  <c r="AN82" i="18"/>
  <c r="AO82" i="18"/>
  <c r="AP82" i="18"/>
  <c r="AQ98" i="18"/>
  <c r="AN98" i="18"/>
  <c r="AO98" i="18"/>
  <c r="AP97" i="18"/>
  <c r="AR89" i="18"/>
  <c r="AS89" i="18"/>
  <c r="AT89" i="18"/>
  <c r="AQ37" i="18"/>
  <c r="AN37" i="18"/>
  <c r="AO37" i="18"/>
  <c r="AP37" i="18"/>
  <c r="AQ42" i="18"/>
  <c r="AN42" i="18"/>
  <c r="AO42" i="18"/>
  <c r="AP42" i="18"/>
  <c r="AT50" i="18"/>
  <c r="AR50" i="18"/>
  <c r="AS50" i="18"/>
  <c r="AR62" i="18"/>
  <c r="AS62" i="18"/>
  <c r="AT62" i="18"/>
  <c r="AP53" i="18"/>
  <c r="AQ53" i="18"/>
  <c r="AN53" i="18"/>
  <c r="AO53" i="18"/>
  <c r="AQ65" i="18"/>
  <c r="AN65" i="18"/>
  <c r="AO65" i="18"/>
  <c r="AP65" i="18"/>
  <c r="AP69" i="18"/>
  <c r="AQ69" i="18"/>
  <c r="AN69" i="18"/>
  <c r="AO69" i="18"/>
  <c r="AP46" i="18"/>
  <c r="AQ46" i="18"/>
  <c r="AN46" i="18"/>
  <c r="AO46" i="18"/>
  <c r="AS57" i="18"/>
  <c r="AT57" i="18"/>
  <c r="AR57" i="18"/>
  <c r="AS73" i="18"/>
  <c r="AT73" i="18"/>
  <c r="AR73" i="18"/>
  <c r="AG57" i="18"/>
  <c r="AJ58" i="18"/>
  <c r="AN77" i="18"/>
  <c r="AO77" i="18"/>
  <c r="AP77" i="18"/>
  <c r="AQ85" i="18"/>
  <c r="AN85" i="18"/>
  <c r="AO85" i="18"/>
  <c r="AP85" i="18"/>
  <c r="AQ93" i="18"/>
  <c r="AN93" i="18"/>
  <c r="AO93" i="18"/>
  <c r="AP94" i="18"/>
  <c r="W82" i="18"/>
  <c r="AR82" i="18"/>
  <c r="AS82" i="18"/>
  <c r="AT82" i="18"/>
  <c r="AR98" i="18"/>
  <c r="AS98" i="18"/>
  <c r="AT97" i="18"/>
  <c r="AQ90" i="18"/>
  <c r="AN90" i="18"/>
  <c r="AO90" i="18"/>
  <c r="AP90" i="18"/>
  <c r="AR37" i="18"/>
  <c r="AS37" i="18"/>
  <c r="AT37" i="18"/>
  <c r="AR42" i="18"/>
  <c r="AS42" i="18"/>
  <c r="AT42" i="18"/>
  <c r="AP49" i="18"/>
  <c r="AQ49" i="18"/>
  <c r="AN49" i="18"/>
  <c r="AO49" i="18"/>
  <c r="AN61" i="18"/>
  <c r="AO61" i="18"/>
  <c r="AP61" i="18"/>
  <c r="AQ61" i="18"/>
  <c r="AT53" i="18"/>
  <c r="AR53" i="18"/>
  <c r="AS53" i="18"/>
  <c r="AR65" i="18"/>
  <c r="AS65" i="18"/>
  <c r="AT65" i="18"/>
  <c r="AT69" i="18"/>
  <c r="AR69" i="18"/>
  <c r="AS69" i="18"/>
  <c r="AT46" i="18"/>
  <c r="AR46" i="18"/>
  <c r="AS46" i="18"/>
  <c r="AO58" i="18"/>
  <c r="AP58" i="18"/>
  <c r="AQ58" i="18"/>
  <c r="AN58" i="18"/>
  <c r="AO74" i="18"/>
  <c r="AP74" i="18"/>
  <c r="AQ74" i="18"/>
  <c r="AN74" i="18"/>
  <c r="O58" i="18"/>
  <c r="AI58" i="18"/>
  <c r="AR77" i="18"/>
  <c r="AT77" i="18"/>
  <c r="AR85" i="18"/>
  <c r="AT85" i="18"/>
  <c r="AR93" i="18"/>
  <c r="AT94" i="18"/>
  <c r="AN81" i="18"/>
  <c r="AP81" i="18"/>
  <c r="AN97" i="18"/>
  <c r="AP98" i="18"/>
  <c r="AS90" i="18"/>
  <c r="AQ38" i="18"/>
  <c r="AO38" i="18"/>
  <c r="AQ41" i="18"/>
  <c r="AO41" i="18"/>
  <c r="AQ50" i="18"/>
  <c r="AO50" i="18"/>
  <c r="AO62" i="18"/>
  <c r="AQ62" i="18"/>
  <c r="AP54" i="18"/>
  <c r="AN54" i="18"/>
  <c r="AQ66" i="18"/>
  <c r="AO66" i="18"/>
  <c r="AP70" i="18"/>
  <c r="AN70" i="18"/>
  <c r="AQ45" i="18"/>
  <c r="AO45" i="18"/>
  <c r="AS58" i="18"/>
  <c r="AS74" i="18"/>
  <c r="AK81" i="18"/>
  <c r="AQ77" i="18"/>
  <c r="AS77" i="18"/>
  <c r="AS85" i="18"/>
  <c r="AS93" i="18"/>
  <c r="AQ81" i="18"/>
  <c r="AO81" i="18"/>
  <c r="AQ97" i="18"/>
  <c r="AO97" i="18"/>
  <c r="AC53" i="18"/>
  <c r="AR90" i="18"/>
  <c r="AT90" i="18"/>
  <c r="AN38" i="18"/>
  <c r="AP38" i="18"/>
  <c r="AN41" i="18"/>
  <c r="AP41" i="18"/>
  <c r="AP50" i="18"/>
  <c r="AN50" i="18"/>
  <c r="AN62" i="18"/>
  <c r="AP62" i="18"/>
  <c r="AQ54" i="18"/>
  <c r="AO54" i="18"/>
  <c r="AN66" i="18"/>
  <c r="AP66" i="18"/>
  <c r="AQ70" i="18"/>
  <c r="AO70" i="18"/>
  <c r="AP45" i="18"/>
  <c r="AN45" i="18"/>
  <c r="AM58" i="18"/>
  <c r="AT58" i="18"/>
  <c r="AR58" i="18"/>
  <c r="AT74" i="18"/>
  <c r="AR74" i="18"/>
  <c r="Y57" i="18"/>
  <c r="AN78" i="18"/>
  <c r="AN86" i="18"/>
  <c r="AN94" i="18"/>
  <c r="AR81" i="18"/>
  <c r="AR97" i="18"/>
  <c r="AN89" i="18"/>
  <c r="AT41" i="18"/>
  <c r="AR49" i="18"/>
  <c r="AT61" i="18"/>
  <c r="AR66" i="18"/>
  <c r="AP57" i="18"/>
  <c r="AP73" i="18"/>
  <c r="AO78" i="18"/>
  <c r="AO86" i="18"/>
  <c r="AO94" i="18"/>
  <c r="AS81" i="18"/>
  <c r="AS97" i="18"/>
  <c r="AO89" i="18"/>
  <c r="AR38" i="18"/>
  <c r="AS49" i="18"/>
  <c r="AR54" i="18"/>
  <c r="AS66" i="18"/>
  <c r="AR70" i="18"/>
  <c r="AR45" i="18"/>
  <c r="AQ57" i="18"/>
  <c r="AQ73" i="18"/>
  <c r="N53" i="18"/>
  <c r="Q57" i="18"/>
  <c r="T54" i="18"/>
  <c r="M53" i="18"/>
  <c r="W54" i="18"/>
  <c r="AA58" i="18"/>
  <c r="Y53" i="18"/>
  <c r="AJ54" i="18"/>
  <c r="T82" i="18"/>
  <c r="Q81" i="18"/>
  <c r="S82" i="18"/>
  <c r="AJ82" i="18"/>
  <c r="AC81" i="18"/>
  <c r="M57" i="18"/>
  <c r="K58" i="18"/>
  <c r="V57" i="18"/>
  <c r="T58" i="18"/>
  <c r="T97" i="18"/>
  <c r="AJ97" i="18"/>
  <c r="V98" i="18"/>
  <c r="AL98" i="18"/>
  <c r="U97" i="18"/>
  <c r="AK97" i="18"/>
  <c r="W98" i="18"/>
  <c r="AM98" i="18"/>
  <c r="V97" i="18"/>
  <c r="AL97" i="18"/>
  <c r="X98" i="18"/>
  <c r="K97" i="18"/>
  <c r="AA97" i="18"/>
  <c r="M98" i="18"/>
  <c r="AC98" i="18"/>
  <c r="P93" i="18"/>
  <c r="AF93" i="18"/>
  <c r="R94" i="18"/>
  <c r="AH94" i="18"/>
  <c r="Q93" i="18"/>
  <c r="AG93" i="18"/>
  <c r="S94" i="18"/>
  <c r="AI94" i="18"/>
  <c r="R93" i="18"/>
  <c r="AH93" i="18"/>
  <c r="T94" i="18"/>
  <c r="AJ94" i="18"/>
  <c r="W93" i="18"/>
  <c r="AM93" i="18"/>
  <c r="Y94" i="18"/>
  <c r="L89" i="18"/>
  <c r="AB89" i="18"/>
  <c r="N90" i="18"/>
  <c r="AD90" i="18"/>
  <c r="M89" i="18"/>
  <c r="AC89" i="18"/>
  <c r="O90" i="18"/>
  <c r="AE90" i="18"/>
  <c r="N89" i="18"/>
  <c r="AD89" i="18"/>
  <c r="P90" i="18"/>
  <c r="AF90" i="18"/>
  <c r="S89" i="18"/>
  <c r="AI89" i="18"/>
  <c r="U90" i="18"/>
  <c r="AK90" i="18"/>
  <c r="AJ85" i="18"/>
  <c r="AD86" i="18"/>
  <c r="Y85" i="18"/>
  <c r="AI86" i="18"/>
  <c r="R85" i="18"/>
  <c r="AH85" i="18"/>
  <c r="T86" i="18"/>
  <c r="AJ86" i="18"/>
  <c r="N86" i="18"/>
  <c r="U85" i="18"/>
  <c r="S86" i="18"/>
  <c r="O85" i="18"/>
  <c r="AE85" i="18"/>
  <c r="Q86" i="18"/>
  <c r="AG86" i="18"/>
  <c r="X82" i="18"/>
  <c r="T81" i="18"/>
  <c r="AJ81" i="18"/>
  <c r="V82" i="18"/>
  <c r="AL82" i="18"/>
  <c r="W81" i="18"/>
  <c r="AM81" i="18"/>
  <c r="Y82" i="18"/>
  <c r="L77" i="18"/>
  <c r="AB77" i="18"/>
  <c r="N78" i="18"/>
  <c r="AD78" i="18"/>
  <c r="M77" i="18"/>
  <c r="AC77" i="18"/>
  <c r="O78" i="18"/>
  <c r="AE78" i="18"/>
  <c r="N77" i="18"/>
  <c r="AD77" i="18"/>
  <c r="P78" i="18"/>
  <c r="AF78" i="18"/>
  <c r="S77" i="18"/>
  <c r="AI77" i="18"/>
  <c r="U78" i="18"/>
  <c r="AK78" i="18"/>
  <c r="X73" i="18"/>
  <c r="J74" i="18"/>
  <c r="Z74" i="18"/>
  <c r="Y73" i="18"/>
  <c r="K74" i="18"/>
  <c r="AA74" i="18"/>
  <c r="J73" i="18"/>
  <c r="J75" i="18" s="1"/>
  <c r="Z73" i="18"/>
  <c r="L74" i="18"/>
  <c r="AB74" i="18"/>
  <c r="O73" i="18"/>
  <c r="AE73" i="18"/>
  <c r="Q74" i="18"/>
  <c r="AG74" i="18"/>
  <c r="T69" i="18"/>
  <c r="AJ69" i="18"/>
  <c r="V70" i="18"/>
  <c r="AL70" i="18"/>
  <c r="U69" i="18"/>
  <c r="AK69" i="18"/>
  <c r="W70" i="18"/>
  <c r="AM70" i="18"/>
  <c r="V69" i="18"/>
  <c r="X70" i="18"/>
  <c r="K69" i="18"/>
  <c r="AA69" i="18"/>
  <c r="M70" i="18"/>
  <c r="AC70" i="18"/>
  <c r="P65" i="18"/>
  <c r="AF65" i="18"/>
  <c r="R66" i="18"/>
  <c r="AH66" i="18"/>
  <c r="Q65" i="18"/>
  <c r="AG65" i="18"/>
  <c r="S66" i="18"/>
  <c r="AI66" i="18"/>
  <c r="R65" i="18"/>
  <c r="AH65" i="18"/>
  <c r="T66" i="18"/>
  <c r="AP78" i="18"/>
  <c r="AP93" i="18"/>
  <c r="AT98" i="18"/>
  <c r="AT49" i="18"/>
  <c r="AS45" i="18"/>
  <c r="AN73" i="18"/>
  <c r="AB54" i="18"/>
  <c r="AI54" i="18"/>
  <c r="AH53" i="18"/>
  <c r="Z57" i="18"/>
  <c r="AG53" i="18"/>
  <c r="L82" i="18"/>
  <c r="AE82" i="18"/>
  <c r="V81" i="18"/>
  <c r="AL81" i="18"/>
  <c r="U57" i="18"/>
  <c r="AB58" i="18"/>
  <c r="L58" i="18"/>
  <c r="X97" i="18"/>
  <c r="N98" i="18"/>
  <c r="AH98" i="18"/>
  <c r="Y97" i="18"/>
  <c r="O98" i="18"/>
  <c r="AI98" i="18"/>
  <c r="Z97" i="18"/>
  <c r="P98" i="18"/>
  <c r="AJ98" i="18"/>
  <c r="AE97" i="18"/>
  <c r="U98" i="18"/>
  <c r="L93" i="18"/>
  <c r="AJ93" i="18"/>
  <c r="Z94" i="18"/>
  <c r="M93" i="18"/>
  <c r="AK93" i="18"/>
  <c r="AA94" i="18"/>
  <c r="N93" i="18"/>
  <c r="AL93" i="18"/>
  <c r="AB94" i="18"/>
  <c r="S93" i="18"/>
  <c r="M94" i="18"/>
  <c r="AG94" i="18"/>
  <c r="X89" i="18"/>
  <c r="R90" i="18"/>
  <c r="AL90" i="18"/>
  <c r="Y89" i="18"/>
  <c r="S90" i="18"/>
  <c r="AM90" i="18"/>
  <c r="Z89" i="18"/>
  <c r="T90" i="18"/>
  <c r="K89" i="18"/>
  <c r="AE89" i="18"/>
  <c r="Y90" i="18"/>
  <c r="T85" i="18"/>
  <c r="V86" i="18"/>
  <c r="AG85" i="18"/>
  <c r="J85" i="18"/>
  <c r="J87" i="18" s="1"/>
  <c r="AD85" i="18"/>
  <c r="X86" i="18"/>
  <c r="X85" i="18"/>
  <c r="M85" i="18"/>
  <c r="W86" i="18"/>
  <c r="W85" i="18"/>
  <c r="M86" i="18"/>
  <c r="AK86" i="18"/>
  <c r="L81" i="18"/>
  <c r="AF81" i="18"/>
  <c r="Z82" i="18"/>
  <c r="O81" i="18"/>
  <c r="AI81" i="18"/>
  <c r="AC82" i="18"/>
  <c r="T77" i="18"/>
  <c r="J78" i="18"/>
  <c r="AH78" i="18"/>
  <c r="U77" i="18"/>
  <c r="K78" i="18"/>
  <c r="AI78" i="18"/>
  <c r="V77" i="18"/>
  <c r="L78" i="18"/>
  <c r="AJ78" i="18"/>
  <c r="AA77" i="18"/>
  <c r="Q78" i="18"/>
  <c r="L73" i="18"/>
  <c r="AF73" i="18"/>
  <c r="V74" i="18"/>
  <c r="AC73" i="18"/>
  <c r="S74" i="18"/>
  <c r="AM74" i="18"/>
  <c r="AD73" i="18"/>
  <c r="T74" i="18"/>
  <c r="K73" i="18"/>
  <c r="AI73" i="18"/>
  <c r="Y74" i="18"/>
  <c r="P69" i="18"/>
  <c r="J70" i="18"/>
  <c r="AD70" i="18"/>
  <c r="Q69" i="18"/>
  <c r="K70" i="18"/>
  <c r="AE70" i="18"/>
  <c r="R69" i="18"/>
  <c r="L70" i="18"/>
  <c r="AF70" i="18"/>
  <c r="W69" i="18"/>
  <c r="Q70" i="18"/>
  <c r="AK70" i="18"/>
  <c r="AB65" i="18"/>
  <c r="V66" i="18"/>
  <c r="AC65" i="18"/>
  <c r="W66" i="18"/>
  <c r="J65" i="18"/>
  <c r="J67" i="18" s="1"/>
  <c r="AD65" i="18"/>
  <c r="X66" i="18"/>
  <c r="K65" i="18"/>
  <c r="AA65" i="18"/>
  <c r="M66" i="18"/>
  <c r="AC66" i="18"/>
  <c r="P61" i="18"/>
  <c r="AF61" i="18"/>
  <c r="R62" i="18"/>
  <c r="AH62" i="18"/>
  <c r="Q61" i="18"/>
  <c r="AG61" i="18"/>
  <c r="S62" i="18"/>
  <c r="AI62" i="18"/>
  <c r="R61" i="18"/>
  <c r="AH61" i="18"/>
  <c r="T62" i="18"/>
  <c r="AJ62" i="18"/>
  <c r="W61" i="18"/>
  <c r="AM61" i="18"/>
  <c r="Y62" i="18"/>
  <c r="W58" i="18"/>
  <c r="T57" i="18"/>
  <c r="AJ57" i="18"/>
  <c r="V58" i="18"/>
  <c r="W57" i="18"/>
  <c r="AM57" i="18"/>
  <c r="Y58" i="18"/>
  <c r="P54" i="18"/>
  <c r="P53" i="18"/>
  <c r="AF53" i="18"/>
  <c r="R54" i="18"/>
  <c r="AH54" i="18"/>
  <c r="S53" i="18"/>
  <c r="AI53" i="18"/>
  <c r="U54" i="18"/>
  <c r="AK54" i="18"/>
  <c r="X49" i="18"/>
  <c r="J50" i="18"/>
  <c r="Z50" i="18"/>
  <c r="Y49" i="18"/>
  <c r="K50" i="18"/>
  <c r="AA50" i="18"/>
  <c r="J49" i="18"/>
  <c r="J51" i="18" s="1"/>
  <c r="Z49" i="18"/>
  <c r="L50" i="18"/>
  <c r="AB50" i="18"/>
  <c r="O49" i="18"/>
  <c r="AE49" i="18"/>
  <c r="Q50" i="18"/>
  <c r="AG50" i="18"/>
  <c r="T45" i="18"/>
  <c r="AJ45" i="18"/>
  <c r="V46" i="18"/>
  <c r="U45" i="18"/>
  <c r="AK45" i="18"/>
  <c r="W46" i="18"/>
  <c r="AM46" i="18"/>
  <c r="V45" i="18"/>
  <c r="X46" i="18"/>
  <c r="K45" i="18"/>
  <c r="AA45" i="18"/>
  <c r="M46" i="18"/>
  <c r="AC46" i="18"/>
  <c r="P41" i="18"/>
  <c r="AF41" i="18"/>
  <c r="R42" i="18"/>
  <c r="AH42" i="18"/>
  <c r="Q41" i="18"/>
  <c r="AG41" i="18"/>
  <c r="S42" i="18"/>
  <c r="AI42" i="18"/>
  <c r="R41" i="18"/>
  <c r="AH41" i="18"/>
  <c r="T42" i="18"/>
  <c r="AJ42" i="18"/>
  <c r="W41" i="18"/>
  <c r="AM41" i="18"/>
  <c r="Y42" i="18"/>
  <c r="K37" i="18"/>
  <c r="X38" i="18"/>
  <c r="AI37" i="18"/>
  <c r="S37" i="18"/>
  <c r="AM38" i="18"/>
  <c r="W38" i="18"/>
  <c r="AH37" i="18"/>
  <c r="R37" i="18"/>
  <c r="V38" i="18"/>
  <c r="AG37" i="18"/>
  <c r="Q37" i="18"/>
  <c r="AK38" i="18"/>
  <c r="U38" i="18"/>
  <c r="AF37" i="18"/>
  <c r="AE54" i="18"/>
  <c r="AM82" i="18"/>
  <c r="U81" i="18"/>
  <c r="AC57" i="18"/>
  <c r="AF58" i="18"/>
  <c r="AC97" i="18"/>
  <c r="J97" i="18"/>
  <c r="J99" i="18" s="1"/>
  <c r="T98" i="18"/>
  <c r="AI97" i="18"/>
  <c r="T93" i="18"/>
  <c r="AD94" i="18"/>
  <c r="K94" i="18"/>
  <c r="V93" i="18"/>
  <c r="AF94" i="18"/>
  <c r="Q94" i="18"/>
  <c r="AF89" i="18"/>
  <c r="AG89" i="18"/>
  <c r="J89" i="18"/>
  <c r="J91" i="18" s="1"/>
  <c r="X90" i="18"/>
  <c r="AM89" i="18"/>
  <c r="AB85" i="18"/>
  <c r="O86" i="18"/>
  <c r="AL85" i="18"/>
  <c r="AF85" i="18"/>
  <c r="AE86" i="18"/>
  <c r="U86" i="18"/>
  <c r="P81" i="18"/>
  <c r="AD82" i="18"/>
  <c r="M82" i="18"/>
  <c r="X77" i="18"/>
  <c r="AL78" i="18"/>
  <c r="S78" i="18"/>
  <c r="Z77" i="18"/>
  <c r="K77" i="18"/>
  <c r="Y78" i="18"/>
  <c r="AJ73" i="18"/>
  <c r="M73" i="18"/>
  <c r="W74" i="18"/>
  <c r="AH73" i="18"/>
  <c r="S73" i="18"/>
  <c r="AC74" i="18"/>
  <c r="N70" i="18"/>
  <c r="Y69" i="18"/>
  <c r="AI70" i="18"/>
  <c r="P70" i="18"/>
  <c r="AE69" i="18"/>
  <c r="L65" i="18"/>
  <c r="Z66" i="18"/>
  <c r="AK65" i="18"/>
  <c r="N65" i="18"/>
  <c r="AB66" i="18"/>
  <c r="AE65" i="18"/>
  <c r="T61" i="18"/>
  <c r="V62" i="18"/>
  <c r="U61" i="18"/>
  <c r="W62" i="18"/>
  <c r="V61" i="18"/>
  <c r="X62" i="18"/>
  <c r="AA61" i="18"/>
  <c r="AC62" i="18"/>
  <c r="X57" i="18"/>
  <c r="Z58" i="18"/>
  <c r="AA57" i="18"/>
  <c r="AC58" i="18"/>
  <c r="T53" i="18"/>
  <c r="V54" i="18"/>
  <c r="W53" i="18"/>
  <c r="Y54" i="18"/>
  <c r="L49" i="18"/>
  <c r="N50" i="18"/>
  <c r="M49" i="18"/>
  <c r="O50" i="18"/>
  <c r="N49" i="18"/>
  <c r="P50" i="18"/>
  <c r="S49" i="18"/>
  <c r="AK50" i="18"/>
  <c r="J46" i="18"/>
  <c r="Y45" i="18"/>
  <c r="AA46" i="18"/>
  <c r="Z45" i="18"/>
  <c r="AB46" i="18"/>
  <c r="AE45" i="18"/>
  <c r="AG46" i="18"/>
  <c r="AJ41" i="18"/>
  <c r="AK41" i="18"/>
  <c r="AM42" i="18"/>
  <c r="K41" i="18"/>
  <c r="M42" i="18"/>
  <c r="AJ38" i="18"/>
  <c r="AE37" i="18"/>
  <c r="AI38" i="18"/>
  <c r="AD37" i="18"/>
  <c r="AH38" i="18"/>
  <c r="AC37" i="18"/>
  <c r="AG38" i="18"/>
  <c r="AQ86" i="18"/>
  <c r="AQ89" i="18"/>
  <c r="P37" i="18"/>
  <c r="AR41" i="18"/>
  <c r="AT66" i="18"/>
  <c r="AO57" i="18"/>
  <c r="P58" i="18"/>
  <c r="J53" i="18"/>
  <c r="J55" i="18" s="1"/>
  <c r="K54" i="18"/>
  <c r="O54" i="18"/>
  <c r="K82" i="18"/>
  <c r="N81" i="18"/>
  <c r="N57" i="18"/>
  <c r="AB97" i="18"/>
  <c r="R98" i="18"/>
  <c r="S98" i="18"/>
  <c r="AD97" i="18"/>
  <c r="O97" i="18"/>
  <c r="Y98" i="18"/>
  <c r="J94" i="18"/>
  <c r="U93" i="18"/>
  <c r="AE94" i="18"/>
  <c r="L94" i="18"/>
  <c r="AA93" i="18"/>
  <c r="AK94" i="18"/>
  <c r="V90" i="18"/>
  <c r="W90" i="18"/>
  <c r="AH89" i="18"/>
  <c r="O89" i="18"/>
  <c r="AC90" i="18"/>
  <c r="AH86" i="18"/>
  <c r="N85" i="18"/>
  <c r="AB86" i="18"/>
  <c r="AC85" i="18"/>
  <c r="AA85" i="18"/>
  <c r="AH81" i="18"/>
  <c r="J82" i="18"/>
  <c r="S81" i="18"/>
  <c r="AG82" i="18"/>
  <c r="R78" i="18"/>
  <c r="Y77" i="18"/>
  <c r="AM78" i="18"/>
  <c r="T78" i="18"/>
  <c r="AE77" i="18"/>
  <c r="P73" i="18"/>
  <c r="AD74" i="18"/>
  <c r="AG73" i="18"/>
  <c r="N73" i="18"/>
  <c r="X74" i="18"/>
  <c r="AM73" i="18"/>
  <c r="X69" i="18"/>
  <c r="AH70" i="18"/>
  <c r="O70" i="18"/>
  <c r="Z69" i="18"/>
  <c r="AJ70" i="18"/>
  <c r="U70" i="18"/>
  <c r="AJ65" i="18"/>
  <c r="M65" i="18"/>
  <c r="AA66" i="18"/>
  <c r="O65" i="18"/>
  <c r="Q66" i="18"/>
  <c r="AG66" i="18"/>
  <c r="AJ61" i="18"/>
  <c r="AK61" i="18"/>
  <c r="AM62" i="18"/>
  <c r="K61" i="18"/>
  <c r="M62" i="18"/>
  <c r="AE58" i="18"/>
  <c r="J58" i="18"/>
  <c r="K57" i="18"/>
  <c r="M58" i="18"/>
  <c r="X54" i="18"/>
  <c r="AJ53" i="18"/>
  <c r="AM53" i="18"/>
  <c r="AB49" i="18"/>
  <c r="AD50" i="18"/>
  <c r="AC49" i="18"/>
  <c r="AE50" i="18"/>
  <c r="AD49" i="18"/>
  <c r="AF50" i="18"/>
  <c r="AI49" i="18"/>
  <c r="U50" i="18"/>
  <c r="X45" i="18"/>
  <c r="Z46" i="18"/>
  <c r="K46" i="18"/>
  <c r="J45" i="18"/>
  <c r="J47" i="18" s="1"/>
  <c r="L46" i="18"/>
  <c r="O45" i="18"/>
  <c r="Q46" i="18"/>
  <c r="T41" i="18"/>
  <c r="V42" i="18"/>
  <c r="U41" i="18"/>
  <c r="W42" i="18"/>
  <c r="V41" i="18"/>
  <c r="X42" i="18"/>
  <c r="AA41" i="18"/>
  <c r="AC42" i="18"/>
  <c r="T38" i="18"/>
  <c r="O37" i="18"/>
  <c r="S38" i="18"/>
  <c r="N37" i="18"/>
  <c r="R38" i="18"/>
  <c r="M37" i="18"/>
  <c r="Q38" i="18"/>
  <c r="AP86" i="18"/>
  <c r="AP89" i="18"/>
  <c r="AS38" i="18"/>
  <c r="AS70" i="18"/>
  <c r="X58" i="18"/>
  <c r="AD57" i="18"/>
  <c r="R97" i="18"/>
  <c r="Q98" i="18"/>
  <c r="W94" i="18"/>
  <c r="O93" i="18"/>
  <c r="J90" i="18"/>
  <c r="AL89" i="18"/>
  <c r="AG90" i="18"/>
  <c r="AF86" i="18"/>
  <c r="AI85" i="18"/>
  <c r="N82" i="18"/>
  <c r="AK82" i="18"/>
  <c r="AG77" i="18"/>
  <c r="X78" i="18"/>
  <c r="T73" i="18"/>
  <c r="U73" i="18"/>
  <c r="P74" i="18"/>
  <c r="L69" i="18"/>
  <c r="AG69" i="18"/>
  <c r="AB70" i="18"/>
  <c r="V65" i="18"/>
  <c r="AI65" i="18"/>
  <c r="J62" i="18"/>
  <c r="K62" i="18"/>
  <c r="L62" i="18"/>
  <c r="Q62" i="18"/>
  <c r="N58" i="18"/>
  <c r="Q58" i="18"/>
  <c r="J54" i="18"/>
  <c r="M54" i="18"/>
  <c r="R50" i="18"/>
  <c r="AM50" i="18"/>
  <c r="K49" i="18"/>
  <c r="R46" i="18"/>
  <c r="O46" i="18"/>
  <c r="P46" i="18"/>
  <c r="U46" i="18"/>
  <c r="Z42" i="18"/>
  <c r="Z41" i="18"/>
  <c r="AE41" i="18"/>
  <c r="P38" i="18"/>
  <c r="O38" i="18"/>
  <c r="N38" i="18"/>
  <c r="T37" i="18"/>
  <c r="AQ94" i="18"/>
  <c r="AT38" i="18"/>
  <c r="AS41" i="18"/>
  <c r="AR61" i="18"/>
  <c r="AT54" i="18"/>
  <c r="AT45" i="18"/>
  <c r="U53" i="18"/>
  <c r="V53" i="18"/>
  <c r="Q53" i="18"/>
  <c r="R81" i="18"/>
  <c r="AB82" i="18"/>
  <c r="M81" i="18"/>
  <c r="AI82" i="18"/>
  <c r="J98" i="18"/>
  <c r="M97" i="18"/>
  <c r="AA98" i="18"/>
  <c r="AH97" i="18"/>
  <c r="S97" i="18"/>
  <c r="AG98" i="18"/>
  <c r="N94" i="18"/>
  <c r="Y93" i="18"/>
  <c r="AM94" i="18"/>
  <c r="P94" i="18"/>
  <c r="AE93" i="18"/>
  <c r="P89" i="18"/>
  <c r="Z90" i="18"/>
  <c r="U89" i="18"/>
  <c r="AI90" i="18"/>
  <c r="L90" i="18"/>
  <c r="AA89" i="18"/>
  <c r="L85" i="18"/>
  <c r="Q85" i="18"/>
  <c r="Z85" i="18"/>
  <c r="P85" i="18"/>
  <c r="K86" i="18"/>
  <c r="AM85" i="18"/>
  <c r="AF82" i="18"/>
  <c r="R82" i="18"/>
  <c r="AE81" i="18"/>
  <c r="P77" i="18"/>
  <c r="Z78" i="18"/>
  <c r="AK77" i="18"/>
  <c r="R77" i="18"/>
  <c r="AB78" i="18"/>
  <c r="M78" i="18"/>
  <c r="AB73" i="18"/>
  <c r="AL74" i="18"/>
  <c r="AK73" i="18"/>
  <c r="R73" i="18"/>
  <c r="AF74" i="18"/>
  <c r="M74" i="18"/>
  <c r="AB69" i="18"/>
  <c r="S70" i="18"/>
  <c r="AD69" i="18"/>
  <c r="O69" i="18"/>
  <c r="Y70" i="18"/>
  <c r="J66" i="18"/>
  <c r="O66" i="18"/>
  <c r="Z65" i="18"/>
  <c r="AJ66" i="18"/>
  <c r="AM65" i="18"/>
  <c r="L61" i="18"/>
  <c r="N62" i="18"/>
  <c r="M61" i="18"/>
  <c r="O62" i="18"/>
  <c r="N61" i="18"/>
  <c r="P62" i="18"/>
  <c r="S61" i="18"/>
  <c r="U62" i="18"/>
  <c r="P57" i="18"/>
  <c r="R58" i="18"/>
  <c r="S57" i="18"/>
  <c r="U58" i="18"/>
  <c r="L53" i="18"/>
  <c r="N54" i="18"/>
  <c r="O53" i="18"/>
  <c r="Q54" i="18"/>
  <c r="T49" i="18"/>
  <c r="V50" i="18"/>
  <c r="Q49" i="18"/>
  <c r="S50" i="18"/>
  <c r="R49" i="18"/>
  <c r="T50" i="18"/>
  <c r="W49" i="18"/>
  <c r="Y50" i="18"/>
  <c r="AB45" i="18"/>
  <c r="AD46" i="18"/>
  <c r="Q45" i="18"/>
  <c r="S46" i="18"/>
  <c r="R45" i="18"/>
  <c r="T46" i="18"/>
  <c r="W45" i="18"/>
  <c r="Y46" i="18"/>
  <c r="AB41" i="18"/>
  <c r="AD42" i="18"/>
  <c r="AC41" i="18"/>
  <c r="AE42" i="18"/>
  <c r="AD41" i="18"/>
  <c r="AF42" i="18"/>
  <c r="AI41" i="18"/>
  <c r="AK42" i="18"/>
  <c r="AM37" i="18"/>
  <c r="L38" i="18"/>
  <c r="L37" i="18"/>
  <c r="AK37" i="18"/>
  <c r="K38" i="18"/>
  <c r="AJ37" i="18"/>
  <c r="S54" i="18"/>
  <c r="AT81" i="18"/>
  <c r="AS61" i="18"/>
  <c r="AS54" i="18"/>
  <c r="AN57" i="18"/>
  <c r="R53" i="18"/>
  <c r="AD53" i="18"/>
  <c r="AM54" i="18"/>
  <c r="AA54" i="18"/>
  <c r="AG81" i="18"/>
  <c r="AD81" i="18"/>
  <c r="AK57" i="18"/>
  <c r="L97" i="18"/>
  <c r="Z98" i="18"/>
  <c r="Q97" i="18"/>
  <c r="AE98" i="18"/>
  <c r="L98" i="18"/>
  <c r="W97" i="18"/>
  <c r="AK98" i="18"/>
  <c r="V94" i="18"/>
  <c r="AC93" i="18"/>
  <c r="J93" i="18"/>
  <c r="J95" i="18" s="1"/>
  <c r="X94" i="18"/>
  <c r="AI93" i="18"/>
  <c r="T89" i="18"/>
  <c r="AH90" i="18"/>
  <c r="AK89" i="18"/>
  <c r="R89" i="18"/>
  <c r="AB90" i="18"/>
  <c r="M90" i="18"/>
  <c r="J86" i="18"/>
  <c r="AA86" i="18"/>
  <c r="L86" i="18"/>
  <c r="Z86" i="18"/>
  <c r="K85" i="18"/>
  <c r="Y86" i="18"/>
  <c r="X81" i="18"/>
  <c r="AH82" i="18"/>
  <c r="Q82" i="18"/>
  <c r="AF77" i="18"/>
  <c r="W78" i="18"/>
  <c r="AH77" i="18"/>
  <c r="O77" i="18"/>
  <c r="AC78" i="18"/>
  <c r="N74" i="18"/>
  <c r="O74" i="18"/>
  <c r="V73" i="18"/>
  <c r="AJ74" i="18"/>
  <c r="U74" i="18"/>
  <c r="AF69" i="18"/>
  <c r="M69" i="18"/>
  <c r="AA70" i="18"/>
  <c r="AH69" i="18"/>
  <c r="S69" i="18"/>
  <c r="AG70" i="18"/>
  <c r="N66" i="18"/>
  <c r="U65" i="18"/>
  <c r="AE66" i="18"/>
  <c r="L66" i="18"/>
  <c r="S65" i="18"/>
  <c r="U66" i="18"/>
  <c r="X61" i="18"/>
  <c r="Z62" i="18"/>
  <c r="Y61" i="18"/>
  <c r="AA62" i="18"/>
  <c r="Z61" i="18"/>
  <c r="AB62" i="18"/>
  <c r="AE61" i="18"/>
  <c r="AG62" i="18"/>
  <c r="AB57" i="18"/>
  <c r="AD58" i="18"/>
  <c r="AE57" i="18"/>
  <c r="AG58" i="18"/>
  <c r="X53" i="18"/>
  <c r="Z54" i="18"/>
  <c r="AA53" i="18"/>
  <c r="AC54" i="18"/>
  <c r="AF49" i="18"/>
  <c r="AH50" i="18"/>
  <c r="U49" i="18"/>
  <c r="W50" i="18"/>
  <c r="V49" i="18"/>
  <c r="X50" i="18"/>
  <c r="AA49" i="18"/>
  <c r="AC50" i="18"/>
  <c r="AF45" i="18"/>
  <c r="AH46" i="18"/>
  <c r="AC45" i="18"/>
  <c r="AE46" i="18"/>
  <c r="AD45" i="18"/>
  <c r="AF46" i="18"/>
  <c r="AI45" i="18"/>
  <c r="AK46" i="18"/>
  <c r="J42" i="18"/>
  <c r="K42" i="18"/>
  <c r="J41" i="18"/>
  <c r="J43" i="18" s="1"/>
  <c r="L42" i="18"/>
  <c r="O41" i="18"/>
  <c r="Q42" i="18"/>
  <c r="AF38" i="18"/>
  <c r="AA37" i="18"/>
  <c r="AE38" i="18"/>
  <c r="Z37" i="18"/>
  <c r="AD38" i="18"/>
  <c r="Y37" i="18"/>
  <c r="AC38" i="18"/>
  <c r="AB37" i="18"/>
  <c r="AT70" i="18"/>
  <c r="AO73" i="18"/>
  <c r="AH57" i="18"/>
  <c r="J57" i="18"/>
  <c r="J59" i="18" s="1"/>
  <c r="J81" i="18"/>
  <c r="J83" i="18" s="1"/>
  <c r="Y81" i="18"/>
  <c r="AA82" i="18"/>
  <c r="S58" i="18"/>
  <c r="P97" i="18"/>
  <c r="AD98" i="18"/>
  <c r="AG97" i="18"/>
  <c r="N97" i="18"/>
  <c r="AB98" i="18"/>
  <c r="AM97" i="18"/>
  <c r="X93" i="18"/>
  <c r="AL94" i="18"/>
  <c r="O94" i="18"/>
  <c r="Z93" i="18"/>
  <c r="K93" i="18"/>
  <c r="U94" i="18"/>
  <c r="AJ89" i="18"/>
  <c r="K90" i="18"/>
  <c r="V89" i="18"/>
  <c r="AJ90" i="18"/>
  <c r="Q90" i="18"/>
  <c r="R86" i="18"/>
  <c r="AM86" i="18"/>
  <c r="P86" i="18"/>
  <c r="AL86" i="18"/>
  <c r="S85" i="18"/>
  <c r="AC86" i="18"/>
  <c r="AB81" i="18"/>
  <c r="K81" i="18"/>
  <c r="U82" i="18"/>
  <c r="AJ77" i="18"/>
  <c r="Q77" i="18"/>
  <c r="AA78" i="18"/>
  <c r="AL77" i="18"/>
  <c r="W77" i="18"/>
  <c r="AG78" i="18"/>
  <c r="R74" i="18"/>
  <c r="Q73" i="18"/>
  <c r="AE74" i="18"/>
  <c r="AL73" i="18"/>
  <c r="W73" i="18"/>
  <c r="AK74" i="18"/>
  <c r="R70" i="18"/>
  <c r="AC69" i="18"/>
  <c r="J69" i="18"/>
  <c r="J71" i="18" s="1"/>
  <c r="T70" i="18"/>
  <c r="AI69" i="18"/>
  <c r="T65" i="18"/>
  <c r="AD66" i="18"/>
  <c r="Y65" i="18"/>
  <c r="AM66" i="18"/>
  <c r="P66" i="18"/>
  <c r="W65" i="18"/>
  <c r="Y66" i="18"/>
  <c r="AB61" i="18"/>
  <c r="AD62" i="18"/>
  <c r="AC61" i="18"/>
  <c r="AE62" i="18"/>
  <c r="AD61" i="18"/>
  <c r="AF62" i="18"/>
  <c r="AI61" i="18"/>
  <c r="AK62" i="18"/>
  <c r="AF57" i="18"/>
  <c r="AH58" i="18"/>
  <c r="AI57" i="18"/>
  <c r="AK58" i="18"/>
  <c r="AB53" i="18"/>
  <c r="AD54" i="18"/>
  <c r="AE53" i="18"/>
  <c r="AG54" i="18"/>
  <c r="AJ49" i="18"/>
  <c r="AG49" i="18"/>
  <c r="AI50" i="18"/>
  <c r="AH49" i="18"/>
  <c r="AJ50" i="18"/>
  <c r="AM49" i="18"/>
  <c r="L45" i="18"/>
  <c r="N46" i="18"/>
  <c r="AG45" i="18"/>
  <c r="AI46" i="18"/>
  <c r="AH45" i="18"/>
  <c r="AJ46" i="18"/>
  <c r="AM45" i="18"/>
  <c r="L41" i="18"/>
  <c r="N42" i="18"/>
  <c r="M41" i="18"/>
  <c r="O42" i="18"/>
  <c r="N41" i="18"/>
  <c r="P42" i="18"/>
  <c r="S41" i="18"/>
  <c r="U42" i="18"/>
  <c r="AB38" i="18"/>
  <c r="W37" i="18"/>
  <c r="AA38" i="18"/>
  <c r="V37" i="18"/>
  <c r="Z38" i="18"/>
  <c r="U37" i="18"/>
  <c r="Y38" i="18"/>
  <c r="X37" i="18"/>
  <c r="AK53" i="18"/>
  <c r="O82" i="18"/>
  <c r="Z81" i="18"/>
  <c r="AF97" i="18"/>
  <c r="K98" i="18"/>
  <c r="AF98" i="18"/>
  <c r="AB93" i="18"/>
  <c r="AD93" i="18"/>
  <c r="AC94" i="18"/>
  <c r="Q89" i="18"/>
  <c r="AA90" i="18"/>
  <c r="W89" i="18"/>
  <c r="V85" i="18"/>
  <c r="AK85" i="18"/>
  <c r="P82" i="18"/>
  <c r="AA81" i="18"/>
  <c r="V78" i="18"/>
  <c r="J77" i="18"/>
  <c r="J79" i="18" s="1"/>
  <c r="AM77" i="18"/>
  <c r="AH74" i="18"/>
  <c r="AI74" i="18"/>
  <c r="AA73" i="18"/>
  <c r="Z70" i="18"/>
  <c r="N69" i="18"/>
  <c r="AM69" i="18"/>
  <c r="X65" i="18"/>
  <c r="K66" i="18"/>
  <c r="AF66" i="18"/>
  <c r="AK66" i="18"/>
  <c r="J61" i="18"/>
  <c r="J63" i="18" s="1"/>
  <c r="O61" i="18"/>
  <c r="L57" i="18"/>
  <c r="O57" i="18"/>
  <c r="AF54" i="18"/>
  <c r="K53" i="18"/>
  <c r="P49" i="18"/>
  <c r="AK49" i="18"/>
  <c r="M50" i="18"/>
  <c r="P45" i="18"/>
  <c r="M45" i="18"/>
  <c r="N45" i="18"/>
  <c r="S45" i="18"/>
  <c r="X41" i="18"/>
  <c r="Y41" i="18"/>
  <c r="AA42" i="18"/>
  <c r="AB42" i="18"/>
  <c r="AG42" i="18"/>
  <c r="J37" i="18"/>
  <c r="J39" i="18" s="1"/>
  <c r="J38" i="18"/>
  <c r="M38" i="18"/>
  <c r="BR60" i="5"/>
  <c r="BR35" i="5"/>
  <c r="BR57" i="5"/>
  <c r="BR33" i="5"/>
  <c r="BR65" i="5"/>
  <c r="BR41" i="5"/>
  <c r="BR32" i="5"/>
  <c r="BR49" i="5"/>
  <c r="BR38" i="5"/>
  <c r="BR68" i="5"/>
  <c r="BR52" i="5"/>
  <c r="BR44" i="5"/>
  <c r="BE33" i="15"/>
  <c r="BE32" i="15"/>
  <c r="AY69" i="16" l="1"/>
  <c r="K83" i="18"/>
  <c r="L83" i="18" s="1"/>
  <c r="M83" i="18" s="1"/>
  <c r="N83" i="18" s="1"/>
  <c r="O83" i="18" s="1"/>
  <c r="P83" i="18" s="1"/>
  <c r="Q83" i="18" s="1"/>
  <c r="R83" i="18" s="1"/>
  <c r="S83" i="18" s="1"/>
  <c r="T83" i="18" s="1"/>
  <c r="U83" i="18" s="1"/>
  <c r="V83" i="18" s="1"/>
  <c r="W83" i="18" s="1"/>
  <c r="X83" i="18" s="1"/>
  <c r="Y83" i="18" s="1"/>
  <c r="Z83" i="18" s="1"/>
  <c r="AA83" i="18" s="1"/>
  <c r="AB83" i="18" s="1"/>
  <c r="AC83" i="18" s="1"/>
  <c r="AD83" i="18" s="1"/>
  <c r="AE83" i="18" s="1"/>
  <c r="AF83" i="18" s="1"/>
  <c r="AG83" i="18" s="1"/>
  <c r="AH83" i="18" s="1"/>
  <c r="AI83" i="18" s="1"/>
  <c r="AJ83" i="18" s="1"/>
  <c r="AK83" i="18" s="1"/>
  <c r="AL83" i="18" s="1"/>
  <c r="AM83" i="18" s="1"/>
  <c r="AN83" i="18" s="1"/>
  <c r="AO83" i="18" s="1"/>
  <c r="AP83" i="18" s="1"/>
  <c r="AQ83" i="18" s="1"/>
  <c r="AR83" i="18" s="1"/>
  <c r="AS83" i="18" s="1"/>
  <c r="AT83" i="18" s="1"/>
  <c r="AU83" i="18" s="1"/>
  <c r="AV83" i="18" s="1"/>
  <c r="AW83" i="18" s="1"/>
  <c r="AX83" i="18" s="1"/>
  <c r="AY83" i="18" s="1"/>
  <c r="AZ83" i="18" s="1"/>
  <c r="BA83" i="18" s="1"/>
  <c r="AY83" i="16"/>
  <c r="AY90" i="16"/>
  <c r="AY48" i="16"/>
  <c r="AY62" i="16"/>
  <c r="BB56" i="16"/>
  <c r="BB53" i="16"/>
  <c r="BB39" i="16"/>
  <c r="BB42" i="16"/>
  <c r="AZ63" i="16"/>
  <c r="AZ60" i="16"/>
  <c r="BA61" i="16"/>
  <c r="BA62" i="16" s="1"/>
  <c r="BB60" i="16"/>
  <c r="BB63" i="16"/>
  <c r="AZ42" i="16"/>
  <c r="BA40" i="16"/>
  <c r="BA41" i="16" s="1"/>
  <c r="AZ39" i="16"/>
  <c r="BA102" i="16"/>
  <c r="BB103" i="16"/>
  <c r="BB104" i="16" s="1"/>
  <c r="BA105" i="16"/>
  <c r="BB98" i="16"/>
  <c r="BB95" i="16"/>
  <c r="BB67" i="16"/>
  <c r="BB70" i="16"/>
  <c r="BA47" i="16"/>
  <c r="BA48" i="16" s="1"/>
  <c r="AZ46" i="16"/>
  <c r="AZ49" i="16"/>
  <c r="BB84" i="16"/>
  <c r="BB81" i="16"/>
  <c r="AZ82" i="16"/>
  <c r="AZ83" i="16" s="1"/>
  <c r="AY84" i="16"/>
  <c r="AY81" i="16"/>
  <c r="BB105" i="16"/>
  <c r="BB102" i="16"/>
  <c r="AZ68" i="16"/>
  <c r="AZ69" i="16" s="1"/>
  <c r="AY67" i="16"/>
  <c r="AY70" i="16"/>
  <c r="AZ56" i="16"/>
  <c r="AZ53" i="16"/>
  <c r="BA54" i="16"/>
  <c r="BA55" i="16" s="1"/>
  <c r="BB74" i="16"/>
  <c r="BB77" i="16"/>
  <c r="BA74" i="16"/>
  <c r="BB75" i="16"/>
  <c r="BB76" i="16" s="1"/>
  <c r="BA77" i="16"/>
  <c r="BB40" i="16"/>
  <c r="BB41" i="16" s="1"/>
  <c r="BA42" i="16"/>
  <c r="BA39" i="16"/>
  <c r="AZ67" i="16"/>
  <c r="AZ70" i="16"/>
  <c r="BA68" i="16"/>
  <c r="BA69" i="16" s="1"/>
  <c r="BA95" i="16"/>
  <c r="BB96" i="16"/>
  <c r="BB97" i="16" s="1"/>
  <c r="BA98" i="16"/>
  <c r="AZ61" i="16"/>
  <c r="AZ62" i="16" s="1"/>
  <c r="AY63" i="16"/>
  <c r="AY60" i="16"/>
  <c r="BB88" i="16"/>
  <c r="BB91" i="16"/>
  <c r="AZ89" i="16"/>
  <c r="AZ90" i="16" s="1"/>
  <c r="AY88" i="16"/>
  <c r="AY91" i="16"/>
  <c r="AZ47" i="16"/>
  <c r="AZ48" i="16" s="1"/>
  <c r="AY46" i="16"/>
  <c r="AY49" i="16"/>
  <c r="BA81" i="16"/>
  <c r="BB82" i="16"/>
  <c r="BB83" i="16" s="1"/>
  <c r="BA84" i="16"/>
  <c r="AZ96" i="16"/>
  <c r="AZ97" i="16" s="1"/>
  <c r="AY97" i="16"/>
  <c r="AY95" i="16"/>
  <c r="AY98" i="16"/>
  <c r="AZ88" i="16"/>
  <c r="BA89" i="16"/>
  <c r="BA90" i="16" s="1"/>
  <c r="AZ91" i="16"/>
  <c r="AZ54" i="16"/>
  <c r="AZ55" i="16" s="1"/>
  <c r="AY55" i="16"/>
  <c r="AY53" i="16"/>
  <c r="AY56" i="16"/>
  <c r="BA60" i="16"/>
  <c r="BB61" i="16"/>
  <c r="BB62" i="16" s="1"/>
  <c r="BA63" i="16"/>
  <c r="BA70" i="16"/>
  <c r="BA67" i="16"/>
  <c r="BB68" i="16"/>
  <c r="BB69" i="16" s="1"/>
  <c r="BB47" i="16"/>
  <c r="BB48" i="16" s="1"/>
  <c r="BA46" i="16"/>
  <c r="BA49" i="16"/>
  <c r="BA75" i="16"/>
  <c r="BA76" i="16" s="1"/>
  <c r="AZ77" i="16"/>
  <c r="AZ74" i="16"/>
  <c r="AY104" i="16"/>
  <c r="AZ103" i="16"/>
  <c r="AZ104" i="16" s="1"/>
  <c r="AY102" i="16"/>
  <c r="AY105" i="16"/>
  <c r="BA96" i="16"/>
  <c r="BA97" i="16" s="1"/>
  <c r="AZ98" i="16"/>
  <c r="AZ95" i="16"/>
  <c r="BB54" i="16"/>
  <c r="BB55" i="16" s="1"/>
  <c r="BA56" i="16"/>
  <c r="BA53" i="16"/>
  <c r="BB46" i="16"/>
  <c r="BB49" i="16"/>
  <c r="AZ75" i="16"/>
  <c r="AZ76" i="16" s="1"/>
  <c r="AY76" i="16"/>
  <c r="AY77" i="16"/>
  <c r="AY74" i="16"/>
  <c r="BA88" i="16"/>
  <c r="BB89" i="16"/>
  <c r="BB90" i="16" s="1"/>
  <c r="BA91" i="16"/>
  <c r="AZ81" i="16"/>
  <c r="AZ84" i="16"/>
  <c r="BA82" i="16"/>
  <c r="BA83" i="16" s="1"/>
  <c r="AZ40" i="16"/>
  <c r="AZ41" i="16" s="1"/>
  <c r="AY42" i="16"/>
  <c r="AY39" i="16"/>
  <c r="BA103" i="16"/>
  <c r="BA104" i="16" s="1"/>
  <c r="AZ105" i="16"/>
  <c r="AZ102" i="16"/>
  <c r="K47" i="18"/>
  <c r="L47" i="18" s="1"/>
  <c r="M47" i="18" s="1"/>
  <c r="N47" i="18" s="1"/>
  <c r="O47" i="18" s="1"/>
  <c r="P47" i="18" s="1"/>
  <c r="Q47" i="18" s="1"/>
  <c r="R47" i="18" s="1"/>
  <c r="S47" i="18" s="1"/>
  <c r="T47" i="18" s="1"/>
  <c r="U47" i="18" s="1"/>
  <c r="V47" i="18" s="1"/>
  <c r="W47" i="18" s="1"/>
  <c r="X47" i="18" s="1"/>
  <c r="Y47" i="18" s="1"/>
  <c r="Z47" i="18" s="1"/>
  <c r="AA47" i="18" s="1"/>
  <c r="AB47" i="18" s="1"/>
  <c r="AC47" i="18" s="1"/>
  <c r="AD47" i="18" s="1"/>
  <c r="AE47" i="18" s="1"/>
  <c r="AF47" i="18" s="1"/>
  <c r="AG47" i="18" s="1"/>
  <c r="AH47" i="18" s="1"/>
  <c r="AI47" i="18" s="1"/>
  <c r="AJ47" i="18" s="1"/>
  <c r="AK47" i="18" s="1"/>
  <c r="K79" i="18"/>
  <c r="L79" i="18" s="1"/>
  <c r="M79" i="18" s="1"/>
  <c r="N79" i="18" s="1"/>
  <c r="O79" i="18" s="1"/>
  <c r="P79" i="18" s="1"/>
  <c r="Q79" i="18" s="1"/>
  <c r="R79" i="18" s="1"/>
  <c r="S79" i="18" s="1"/>
  <c r="T79" i="18" s="1"/>
  <c r="U79" i="18" s="1"/>
  <c r="V79" i="18" s="1"/>
  <c r="W79" i="18" s="1"/>
  <c r="X79" i="18" s="1"/>
  <c r="Y79" i="18" s="1"/>
  <c r="Z79" i="18" s="1"/>
  <c r="AA79" i="18" s="1"/>
  <c r="AB79" i="18" s="1"/>
  <c r="AC79" i="18" s="1"/>
  <c r="AD79" i="18" s="1"/>
  <c r="AE79" i="18" s="1"/>
  <c r="AF79" i="18" s="1"/>
  <c r="AG79" i="18" s="1"/>
  <c r="AH79" i="18" s="1"/>
  <c r="AI79" i="18" s="1"/>
  <c r="AJ79" i="18" s="1"/>
  <c r="AK79" i="18" s="1"/>
  <c r="AL79" i="18" s="1"/>
  <c r="AM79" i="18" s="1"/>
  <c r="AN79" i="18" s="1"/>
  <c r="AO79" i="18" s="1"/>
  <c r="AP79" i="18" s="1"/>
  <c r="AQ79" i="18" s="1"/>
  <c r="AR79" i="18" s="1"/>
  <c r="AS79" i="18" s="1"/>
  <c r="AT79" i="18" s="1"/>
  <c r="AU79" i="18" s="1"/>
  <c r="AV79" i="18" s="1"/>
  <c r="AW79" i="18" s="1"/>
  <c r="AX79" i="18" s="1"/>
  <c r="AY79" i="18" s="1"/>
  <c r="AZ79" i="18" s="1"/>
  <c r="BA79" i="18" s="1"/>
  <c r="K63" i="18"/>
  <c r="L63" i="18" s="1"/>
  <c r="M63" i="18" s="1"/>
  <c r="N63" i="18" s="1"/>
  <c r="O63" i="18" s="1"/>
  <c r="P63" i="18" s="1"/>
  <c r="Q63" i="18" s="1"/>
  <c r="R63" i="18" s="1"/>
  <c r="S63" i="18" s="1"/>
  <c r="T63" i="18" s="1"/>
  <c r="U63" i="18" s="1"/>
  <c r="V63" i="18" s="1"/>
  <c r="W63" i="18" s="1"/>
  <c r="X63" i="18" s="1"/>
  <c r="Y63" i="18" s="1"/>
  <c r="Z63" i="18" s="1"/>
  <c r="AA63" i="18" s="1"/>
  <c r="AB63" i="18" s="1"/>
  <c r="AC63" i="18" s="1"/>
  <c r="AD63" i="18" s="1"/>
  <c r="AE63" i="18" s="1"/>
  <c r="AF63" i="18" s="1"/>
  <c r="AG63" i="18" s="1"/>
  <c r="AH63" i="18" s="1"/>
  <c r="AI63" i="18" s="1"/>
  <c r="AJ63" i="18" s="1"/>
  <c r="AK63" i="18" s="1"/>
  <c r="K91" i="18"/>
  <c r="L91" i="18" s="1"/>
  <c r="M91" i="18" s="1"/>
  <c r="N91" i="18" s="1"/>
  <c r="O91" i="18" s="1"/>
  <c r="P91" i="18" s="1"/>
  <c r="Q91" i="18" s="1"/>
  <c r="R91" i="18" s="1"/>
  <c r="S91" i="18" s="1"/>
  <c r="T91" i="18" s="1"/>
  <c r="U91" i="18" s="1"/>
  <c r="V91" i="18" s="1"/>
  <c r="W91" i="18" s="1"/>
  <c r="X91" i="18" s="1"/>
  <c r="Y91" i="18" s="1"/>
  <c r="Z91" i="18" s="1"/>
  <c r="AA91" i="18" s="1"/>
  <c r="AB91" i="18" s="1"/>
  <c r="AC91" i="18" s="1"/>
  <c r="AD91" i="18" s="1"/>
  <c r="AE91" i="18" s="1"/>
  <c r="AF91" i="18" s="1"/>
  <c r="AG91" i="18" s="1"/>
  <c r="AH91" i="18" s="1"/>
  <c r="AI91" i="18" s="1"/>
  <c r="AJ91" i="18" s="1"/>
  <c r="AK91" i="18" s="1"/>
  <c r="AL91" i="18" s="1"/>
  <c r="AM91" i="18" s="1"/>
  <c r="AN91" i="18" s="1"/>
  <c r="AO91" i="18" s="1"/>
  <c r="AP91" i="18" s="1"/>
  <c r="AQ91" i="18" s="1"/>
  <c r="AR91" i="18" s="1"/>
  <c r="AS91" i="18" s="1"/>
  <c r="AT91" i="18" s="1"/>
  <c r="AU91" i="18" s="1"/>
  <c r="AV91" i="18" s="1"/>
  <c r="AW91" i="18" s="1"/>
  <c r="AX91" i="18" s="1"/>
  <c r="AY91" i="18" s="1"/>
  <c r="AZ91" i="18" s="1"/>
  <c r="BA91" i="18" s="1"/>
  <c r="AL84" i="16"/>
  <c r="AL81" i="16"/>
  <c r="AM82" i="16"/>
  <c r="AM83" i="16" s="1"/>
  <c r="AW81" i="16"/>
  <c r="AW84" i="16"/>
  <c r="AX82" i="16"/>
  <c r="AX83" i="16" s="1"/>
  <c r="AP91" i="16"/>
  <c r="AP88" i="16"/>
  <c r="AQ89" i="16"/>
  <c r="AQ90" i="16" s="1"/>
  <c r="AL91" i="16"/>
  <c r="AL88" i="16"/>
  <c r="AM89" i="16"/>
  <c r="AM90" i="16" s="1"/>
  <c r="AP54" i="16"/>
  <c r="AP55" i="16" s="1"/>
  <c r="AO56" i="16"/>
  <c r="AO53" i="16"/>
  <c r="AV105" i="16"/>
  <c r="AW103" i="16"/>
  <c r="AW104" i="16" s="1"/>
  <c r="AV102" i="16"/>
  <c r="AU70" i="16"/>
  <c r="AV68" i="16"/>
  <c r="AV69" i="16" s="1"/>
  <c r="AU67" i="16"/>
  <c r="AL47" i="16"/>
  <c r="AL48" i="16" s="1"/>
  <c r="AK49" i="16"/>
  <c r="AK46" i="16"/>
  <c r="AH60" i="16"/>
  <c r="AH63" i="16"/>
  <c r="AI61" i="16"/>
  <c r="AI62" i="16" s="1"/>
  <c r="AV91" i="16"/>
  <c r="AV88" i="16"/>
  <c r="AW89" i="16"/>
  <c r="AW90" i="16" s="1"/>
  <c r="AL67" i="16"/>
  <c r="AM68" i="16"/>
  <c r="AM69" i="16" s="1"/>
  <c r="AL70" i="16"/>
  <c r="AQ103" i="16"/>
  <c r="AQ104" i="16" s="1"/>
  <c r="AP105" i="16"/>
  <c r="AP102" i="16"/>
  <c r="AS47" i="16"/>
  <c r="AS48" i="16" s="1"/>
  <c r="AR49" i="16"/>
  <c r="AR46" i="16"/>
  <c r="AL42" i="16"/>
  <c r="AL39" i="16"/>
  <c r="AM40" i="16"/>
  <c r="AM41" i="16" s="1"/>
  <c r="K55" i="18"/>
  <c r="L55" i="18" s="1"/>
  <c r="M55" i="18" s="1"/>
  <c r="N55" i="18" s="1"/>
  <c r="O55" i="18" s="1"/>
  <c r="P55" i="18" s="1"/>
  <c r="Q55" i="18" s="1"/>
  <c r="R55" i="18" s="1"/>
  <c r="S55" i="18" s="1"/>
  <c r="T55" i="18" s="1"/>
  <c r="U55" i="18" s="1"/>
  <c r="V55" i="18" s="1"/>
  <c r="W55" i="18" s="1"/>
  <c r="X55" i="18" s="1"/>
  <c r="Y55" i="18" s="1"/>
  <c r="Z55" i="18" s="1"/>
  <c r="AA55" i="18" s="1"/>
  <c r="AB55" i="18" s="1"/>
  <c r="AC55" i="18" s="1"/>
  <c r="AD55" i="18" s="1"/>
  <c r="AE55" i="18" s="1"/>
  <c r="AF55" i="18" s="1"/>
  <c r="AG55" i="18" s="1"/>
  <c r="AH55" i="18" s="1"/>
  <c r="AI55" i="18" s="1"/>
  <c r="AJ55" i="18" s="1"/>
  <c r="AK55" i="18" s="1"/>
  <c r="K39" i="18"/>
  <c r="L39" i="18" s="1"/>
  <c r="M39" i="18" s="1"/>
  <c r="N39" i="18" s="1"/>
  <c r="O39" i="18" s="1"/>
  <c r="P39" i="18" s="1"/>
  <c r="Q39" i="18" s="1"/>
  <c r="R39" i="18" s="1"/>
  <c r="S39" i="18" s="1"/>
  <c r="T39" i="18" s="1"/>
  <c r="U39" i="18" s="1"/>
  <c r="V39" i="18" s="1"/>
  <c r="W39" i="18" s="1"/>
  <c r="X39" i="18" s="1"/>
  <c r="Y39" i="18" s="1"/>
  <c r="Z39" i="18" s="1"/>
  <c r="AA39" i="18" s="1"/>
  <c r="AB39" i="18" s="1"/>
  <c r="AC39" i="18" s="1"/>
  <c r="AD39" i="18" s="1"/>
  <c r="AE39" i="18" s="1"/>
  <c r="AF39" i="18" s="1"/>
  <c r="AG39" i="18" s="1"/>
  <c r="AH39" i="18" s="1"/>
  <c r="AI39" i="18" s="1"/>
  <c r="AJ39" i="18" s="1"/>
  <c r="AK39" i="18" s="1"/>
  <c r="K71" i="18"/>
  <c r="L71" i="18" s="1"/>
  <c r="M71" i="18" s="1"/>
  <c r="N71" i="18" s="1"/>
  <c r="O71" i="18" s="1"/>
  <c r="P71" i="18" s="1"/>
  <c r="Q71" i="18" s="1"/>
  <c r="R71" i="18" s="1"/>
  <c r="S71" i="18" s="1"/>
  <c r="T71" i="18" s="1"/>
  <c r="U71" i="18" s="1"/>
  <c r="V71" i="18" s="1"/>
  <c r="W71" i="18" s="1"/>
  <c r="X71" i="18" s="1"/>
  <c r="Y71" i="18" s="1"/>
  <c r="Z71" i="18" s="1"/>
  <c r="AA71" i="18" s="1"/>
  <c r="AB71" i="18" s="1"/>
  <c r="AC71" i="18" s="1"/>
  <c r="AD71" i="18" s="1"/>
  <c r="AE71" i="18" s="1"/>
  <c r="AF71" i="18" s="1"/>
  <c r="AG71" i="18" s="1"/>
  <c r="AH71" i="18" s="1"/>
  <c r="AI71" i="18" s="1"/>
  <c r="AJ71" i="18" s="1"/>
  <c r="AK71" i="18" s="1"/>
  <c r="AL71" i="18" s="1"/>
  <c r="AM71" i="18" s="1"/>
  <c r="AN71" i="18" s="1"/>
  <c r="AO71" i="18" s="1"/>
  <c r="AP71" i="18" s="1"/>
  <c r="AQ71" i="18" s="1"/>
  <c r="AR71" i="18" s="1"/>
  <c r="AS71" i="18" s="1"/>
  <c r="AT71" i="18" s="1"/>
  <c r="AU71" i="18" s="1"/>
  <c r="AV71" i="18" s="1"/>
  <c r="AW71" i="18" s="1"/>
  <c r="AX71" i="18" s="1"/>
  <c r="AY71" i="18" s="1"/>
  <c r="AZ71" i="18" s="1"/>
  <c r="BA71" i="18" s="1"/>
  <c r="AH91" i="16"/>
  <c r="AI89" i="16"/>
  <c r="AI90" i="16" s="1"/>
  <c r="AH88" i="16"/>
  <c r="AK53" i="16"/>
  <c r="AK56" i="16"/>
  <c r="AL54" i="16"/>
  <c r="AL55" i="16" s="1"/>
  <c r="AS81" i="16"/>
  <c r="AS84" i="16"/>
  <c r="AT82" i="16"/>
  <c r="AT83" i="16" s="1"/>
  <c r="AO81" i="16"/>
  <c r="AP82" i="16"/>
  <c r="AP83" i="16" s="1"/>
  <c r="AO84" i="16"/>
  <c r="AT70" i="16"/>
  <c r="AT67" i="16"/>
  <c r="AU68" i="16"/>
  <c r="AU69" i="16" s="1"/>
  <c r="AM42" i="16"/>
  <c r="AM39" i="16"/>
  <c r="AN40" i="16"/>
  <c r="AN41" i="16" s="1"/>
  <c r="AS70" i="16"/>
  <c r="AT68" i="16"/>
  <c r="AT69" i="16" s="1"/>
  <c r="AS67" i="16"/>
  <c r="AQ61" i="16"/>
  <c r="AQ62" i="16" s="1"/>
  <c r="AP63" i="16"/>
  <c r="AP60" i="16"/>
  <c r="AR68" i="16"/>
  <c r="AR69" i="16" s="1"/>
  <c r="AQ67" i="16"/>
  <c r="AQ70" i="16"/>
  <c r="AT102" i="16"/>
  <c r="AU103" i="16"/>
  <c r="AU104" i="16" s="1"/>
  <c r="AT105" i="16"/>
  <c r="AM49" i="16"/>
  <c r="AN47" i="16"/>
  <c r="AN48" i="16" s="1"/>
  <c r="AM46" i="16"/>
  <c r="K99" i="18"/>
  <c r="L99" i="18" s="1"/>
  <c r="M99" i="18" s="1"/>
  <c r="N99" i="18" s="1"/>
  <c r="O99" i="18" s="1"/>
  <c r="P99" i="18" s="1"/>
  <c r="Q99" i="18" s="1"/>
  <c r="R99" i="18" s="1"/>
  <c r="S99" i="18" s="1"/>
  <c r="T99" i="18" s="1"/>
  <c r="U99" i="18" s="1"/>
  <c r="V99" i="18" s="1"/>
  <c r="W99" i="18" s="1"/>
  <c r="X99" i="18" s="1"/>
  <c r="Y99" i="18" s="1"/>
  <c r="Z99" i="18" s="1"/>
  <c r="AA99" i="18" s="1"/>
  <c r="AB99" i="18" s="1"/>
  <c r="AC99" i="18" s="1"/>
  <c r="AD99" i="18" s="1"/>
  <c r="AE99" i="18" s="1"/>
  <c r="AF99" i="18" s="1"/>
  <c r="AG99" i="18" s="1"/>
  <c r="AH99" i="18" s="1"/>
  <c r="AI99" i="18" s="1"/>
  <c r="AJ99" i="18" s="1"/>
  <c r="AK99" i="18" s="1"/>
  <c r="AL99" i="18" s="1"/>
  <c r="AM99" i="18" s="1"/>
  <c r="AN99" i="18" s="1"/>
  <c r="AO99" i="18" s="1"/>
  <c r="AP99" i="18" s="1"/>
  <c r="AQ99" i="18" s="1"/>
  <c r="AR99" i="18" s="1"/>
  <c r="AS99" i="18" s="1"/>
  <c r="AT99" i="18" s="1"/>
  <c r="AU99" i="18" s="1"/>
  <c r="AV99" i="18" s="1"/>
  <c r="AW99" i="18" s="1"/>
  <c r="AX99" i="18" s="1"/>
  <c r="AY99" i="18" s="1"/>
  <c r="AZ99" i="18" s="1"/>
  <c r="BA99" i="18" s="1"/>
  <c r="AR84" i="16"/>
  <c r="AS82" i="16"/>
  <c r="AS83" i="16" s="1"/>
  <c r="AR81" i="16"/>
  <c r="AK84" i="16"/>
  <c r="AK81" i="16"/>
  <c r="AL82" i="16"/>
  <c r="AL83" i="16" s="1"/>
  <c r="AH84" i="16"/>
  <c r="AI82" i="16"/>
  <c r="AI83" i="16" s="1"/>
  <c r="AH81" i="16"/>
  <c r="AT81" i="16"/>
  <c r="AT84" i="16"/>
  <c r="AU82" i="16"/>
  <c r="AU83" i="16" s="1"/>
  <c r="AJ84" i="16"/>
  <c r="AJ81" i="16"/>
  <c r="AK82" i="16"/>
  <c r="AK83" i="16" s="1"/>
  <c r="AP84" i="16"/>
  <c r="AP81" i="16"/>
  <c r="AQ82" i="16"/>
  <c r="AQ83" i="16" s="1"/>
  <c r="AW54" i="16"/>
  <c r="AW55" i="16" s="1"/>
  <c r="AV56" i="16"/>
  <c r="AV53" i="16"/>
  <c r="AN70" i="16"/>
  <c r="AO68" i="16"/>
  <c r="AO69" i="16" s="1"/>
  <c r="AN67" i="16"/>
  <c r="AV61" i="16"/>
  <c r="AV62" i="16" s="1"/>
  <c r="AU63" i="16"/>
  <c r="AU60" i="16"/>
  <c r="AV77" i="16"/>
  <c r="AW75" i="16"/>
  <c r="AW76" i="16" s="1"/>
  <c r="AV74" i="16"/>
  <c r="AV49" i="16"/>
  <c r="AW47" i="16"/>
  <c r="AW48" i="16" s="1"/>
  <c r="AV46" i="16"/>
  <c r="AJ103" i="16"/>
  <c r="AJ104" i="16" s="1"/>
  <c r="AI105" i="16"/>
  <c r="AI102" i="16"/>
  <c r="AQ49" i="16"/>
  <c r="AQ46" i="16"/>
  <c r="AR47" i="16"/>
  <c r="AR48" i="16" s="1"/>
  <c r="AT63" i="16"/>
  <c r="AT60" i="16"/>
  <c r="AU61" i="16"/>
  <c r="AU62" i="16" s="1"/>
  <c r="AU56" i="16"/>
  <c r="AV54" i="16"/>
  <c r="AV55" i="16" s="1"/>
  <c r="AU53" i="16"/>
  <c r="AW105" i="16"/>
  <c r="AX103" i="16"/>
  <c r="AX104" i="16" s="1"/>
  <c r="AW102" i="16"/>
  <c r="AH42" i="16"/>
  <c r="AH39" i="16"/>
  <c r="AI40" i="16"/>
  <c r="AI41" i="16" s="1"/>
  <c r="AQ60" i="16"/>
  <c r="AQ63" i="16"/>
  <c r="AR61" i="16"/>
  <c r="AR62" i="16" s="1"/>
  <c r="AO75" i="16"/>
  <c r="AO76" i="16" s="1"/>
  <c r="AN77" i="16"/>
  <c r="AN74" i="16"/>
  <c r="AJ40" i="16"/>
  <c r="AJ41" i="16" s="1"/>
  <c r="AI39" i="16"/>
  <c r="AI42" i="16"/>
  <c r="AV39" i="16"/>
  <c r="AV42" i="16"/>
  <c r="AW40" i="16"/>
  <c r="AW41" i="16" s="1"/>
  <c r="AX74" i="16"/>
  <c r="AX77" i="16"/>
  <c r="AW91" i="16"/>
  <c r="AX89" i="16"/>
  <c r="AX90" i="16" s="1"/>
  <c r="AW88" i="16"/>
  <c r="AH67" i="16"/>
  <c r="AH70" i="16"/>
  <c r="AI68" i="16"/>
  <c r="AI69" i="16" s="1"/>
  <c r="AQ102" i="16"/>
  <c r="AQ105" i="16"/>
  <c r="AR103" i="16"/>
  <c r="AR104" i="16" s="1"/>
  <c r="AO46" i="16"/>
  <c r="AO49" i="16"/>
  <c r="AP47" i="16"/>
  <c r="AP48" i="16" s="1"/>
  <c r="K95" i="18"/>
  <c r="L95" i="18" s="1"/>
  <c r="M95" i="18" s="1"/>
  <c r="N95" i="18" s="1"/>
  <c r="O95" i="18" s="1"/>
  <c r="P95" i="18" s="1"/>
  <c r="Q95" i="18" s="1"/>
  <c r="R95" i="18" s="1"/>
  <c r="S95" i="18" s="1"/>
  <c r="T95" i="18" s="1"/>
  <c r="U95" i="18" s="1"/>
  <c r="V95" i="18" s="1"/>
  <c r="W95" i="18" s="1"/>
  <c r="X95" i="18" s="1"/>
  <c r="Y95" i="18" s="1"/>
  <c r="Z95" i="18" s="1"/>
  <c r="AA95" i="18" s="1"/>
  <c r="AB95" i="18" s="1"/>
  <c r="AC95" i="18" s="1"/>
  <c r="AD95" i="18" s="1"/>
  <c r="AE95" i="18" s="1"/>
  <c r="AF95" i="18" s="1"/>
  <c r="AG95" i="18" s="1"/>
  <c r="AH95" i="18" s="1"/>
  <c r="AI95" i="18" s="1"/>
  <c r="AJ95" i="18" s="1"/>
  <c r="AK95" i="18" s="1"/>
  <c r="AL95" i="18" s="1"/>
  <c r="AM95" i="18" s="1"/>
  <c r="AN95" i="18" s="1"/>
  <c r="AO95" i="18" s="1"/>
  <c r="AP95" i="18" s="1"/>
  <c r="AQ95" i="18" s="1"/>
  <c r="AR95" i="18" s="1"/>
  <c r="AS95" i="18" s="1"/>
  <c r="AT95" i="18" s="1"/>
  <c r="AU95" i="18" s="1"/>
  <c r="AV95" i="18" s="1"/>
  <c r="AW95" i="18" s="1"/>
  <c r="AX95" i="18" s="1"/>
  <c r="AY95" i="18" s="1"/>
  <c r="AZ95" i="18" s="1"/>
  <c r="BA95" i="18" s="1"/>
  <c r="K51" i="18"/>
  <c r="L51" i="18" s="1"/>
  <c r="M51" i="18" s="1"/>
  <c r="N51" i="18" s="1"/>
  <c r="O51" i="18" s="1"/>
  <c r="P51" i="18" s="1"/>
  <c r="Q51" i="18" s="1"/>
  <c r="R51" i="18" s="1"/>
  <c r="S51" i="18" s="1"/>
  <c r="T51" i="18" s="1"/>
  <c r="U51" i="18" s="1"/>
  <c r="V51" i="18" s="1"/>
  <c r="W51" i="18" s="1"/>
  <c r="X51" i="18" s="1"/>
  <c r="Y51" i="18" s="1"/>
  <c r="Z51" i="18" s="1"/>
  <c r="AA51" i="18" s="1"/>
  <c r="AB51" i="18" s="1"/>
  <c r="AC51" i="18" s="1"/>
  <c r="AD51" i="18" s="1"/>
  <c r="AE51" i="18" s="1"/>
  <c r="AF51" i="18" s="1"/>
  <c r="AG51" i="18" s="1"/>
  <c r="AH51" i="18" s="1"/>
  <c r="AI51" i="18" s="1"/>
  <c r="AJ51" i="18" s="1"/>
  <c r="AK51" i="18" s="1"/>
  <c r="K67" i="18"/>
  <c r="L67" i="18" s="1"/>
  <c r="M67" i="18" s="1"/>
  <c r="N67" i="18" s="1"/>
  <c r="O67" i="18" s="1"/>
  <c r="P67" i="18" s="1"/>
  <c r="Q67" i="18" s="1"/>
  <c r="R67" i="18" s="1"/>
  <c r="S67" i="18" s="1"/>
  <c r="T67" i="18" s="1"/>
  <c r="U67" i="18" s="1"/>
  <c r="V67" i="18" s="1"/>
  <c r="W67" i="18" s="1"/>
  <c r="X67" i="18" s="1"/>
  <c r="Y67" i="18" s="1"/>
  <c r="Z67" i="18" s="1"/>
  <c r="AA67" i="18" s="1"/>
  <c r="AB67" i="18" s="1"/>
  <c r="AC67" i="18" s="1"/>
  <c r="AD67" i="18" s="1"/>
  <c r="AE67" i="18" s="1"/>
  <c r="AF67" i="18" s="1"/>
  <c r="AG67" i="18" s="1"/>
  <c r="AH67" i="18" s="1"/>
  <c r="AI67" i="18" s="1"/>
  <c r="AJ67" i="18" s="1"/>
  <c r="AK67" i="18" s="1"/>
  <c r="AO98" i="16"/>
  <c r="AP96" i="16"/>
  <c r="AP97" i="16" s="1"/>
  <c r="AO95" i="16"/>
  <c r="AO96" i="16"/>
  <c r="AO97" i="16" s="1"/>
  <c r="AN98" i="16"/>
  <c r="AN95" i="16"/>
  <c r="AT98" i="16"/>
  <c r="AT95" i="16"/>
  <c r="AU96" i="16"/>
  <c r="AU97" i="16" s="1"/>
  <c r="AK96" i="16"/>
  <c r="AK97" i="16" s="1"/>
  <c r="AJ95" i="16"/>
  <c r="AJ98" i="16"/>
  <c r="AU54" i="16"/>
  <c r="AU55" i="16" s="1"/>
  <c r="AT56" i="16"/>
  <c r="AT53" i="16"/>
  <c r="AV95" i="16"/>
  <c r="AV98" i="16"/>
  <c r="AW96" i="16"/>
  <c r="AW97" i="16" s="1"/>
  <c r="AL56" i="16"/>
  <c r="AM54" i="16"/>
  <c r="AM55" i="16" s="1"/>
  <c r="AL53" i="16"/>
  <c r="AR98" i="16"/>
  <c r="AS96" i="16"/>
  <c r="AS97" i="16" s="1"/>
  <c r="AR95" i="16"/>
  <c r="AT54" i="16"/>
  <c r="AT55" i="16" s="1"/>
  <c r="AS56" i="16"/>
  <c r="AS53" i="16"/>
  <c r="AK103" i="16"/>
  <c r="AK104" i="16" s="1"/>
  <c r="AJ105" i="16"/>
  <c r="AJ102" i="16"/>
  <c r="AH49" i="16"/>
  <c r="AH46" i="16"/>
  <c r="AI47" i="16"/>
  <c r="AI48" i="16" s="1"/>
  <c r="AX40" i="16"/>
  <c r="AX41" i="16" s="1"/>
  <c r="AW39" i="16"/>
  <c r="AW42" i="16"/>
  <c r="AK89" i="16"/>
  <c r="AK90" i="16" s="1"/>
  <c r="AJ88" i="16"/>
  <c r="AJ91" i="16"/>
  <c r="AX63" i="16"/>
  <c r="AX60" i="16"/>
  <c r="AU105" i="16"/>
  <c r="AV103" i="16"/>
  <c r="AV104" i="16" s="1"/>
  <c r="AU102" i="16"/>
  <c r="AO39" i="16"/>
  <c r="AO42" i="16"/>
  <c r="AP40" i="16"/>
  <c r="AP41" i="16" s="1"/>
  <c r="AK68" i="16"/>
  <c r="AK69" i="16" s="1"/>
  <c r="AJ70" i="16"/>
  <c r="AJ67" i="16"/>
  <c r="AM77" i="16"/>
  <c r="AN75" i="16"/>
  <c r="AN76" i="16" s="1"/>
  <c r="AM74" i="16"/>
  <c r="AP39" i="16"/>
  <c r="AQ40" i="16"/>
  <c r="AQ41" i="16" s="1"/>
  <c r="AP42" i="16"/>
  <c r="AS42" i="16"/>
  <c r="AT40" i="16"/>
  <c r="AT41" i="16" s="1"/>
  <c r="AS39" i="16"/>
  <c r="AK54" i="16"/>
  <c r="AK55" i="16" s="1"/>
  <c r="AJ56" i="16"/>
  <c r="AJ53" i="16"/>
  <c r="AT75" i="16"/>
  <c r="AT76" i="16" s="1"/>
  <c r="AS77" i="16"/>
  <c r="AS74" i="16"/>
  <c r="AQ42" i="16"/>
  <c r="AR40" i="16"/>
  <c r="AR41" i="16" s="1"/>
  <c r="AQ39" i="16"/>
  <c r="AK70" i="16"/>
  <c r="AL68" i="16"/>
  <c r="AL69" i="16" s="1"/>
  <c r="AK67" i="16"/>
  <c r="AX70" i="16"/>
  <c r="AX67" i="16"/>
  <c r="AJ74" i="16"/>
  <c r="AJ77" i="16"/>
  <c r="AK75" i="16"/>
  <c r="AK76" i="16" s="1"/>
  <c r="AO70" i="16"/>
  <c r="AO67" i="16"/>
  <c r="AP68" i="16"/>
  <c r="AP69" i="16" s="1"/>
  <c r="AM75" i="16"/>
  <c r="AM76" i="16" s="1"/>
  <c r="AL74" i="16"/>
  <c r="AL77" i="16"/>
  <c r="K87" i="18"/>
  <c r="L87" i="18" s="1"/>
  <c r="M87" i="18" s="1"/>
  <c r="N87" i="18" s="1"/>
  <c r="O87" i="18" s="1"/>
  <c r="P87" i="18" s="1"/>
  <c r="Q87" i="18" s="1"/>
  <c r="R87" i="18" s="1"/>
  <c r="S87" i="18" s="1"/>
  <c r="T87" i="18" s="1"/>
  <c r="U87" i="18" s="1"/>
  <c r="V87" i="18" s="1"/>
  <c r="W87" i="18" s="1"/>
  <c r="X87" i="18" s="1"/>
  <c r="Y87" i="18" s="1"/>
  <c r="Z87" i="18" s="1"/>
  <c r="AA87" i="18" s="1"/>
  <c r="AB87" i="18" s="1"/>
  <c r="AC87" i="18" s="1"/>
  <c r="AD87" i="18" s="1"/>
  <c r="AE87" i="18" s="1"/>
  <c r="AF87" i="18" s="1"/>
  <c r="AG87" i="18" s="1"/>
  <c r="AH87" i="18" s="1"/>
  <c r="AI87" i="18" s="1"/>
  <c r="AJ87" i="18" s="1"/>
  <c r="AK87" i="18" s="1"/>
  <c r="AL87" i="18" s="1"/>
  <c r="AM87" i="18" s="1"/>
  <c r="AN87" i="18" s="1"/>
  <c r="AO87" i="18" s="1"/>
  <c r="AP87" i="18" s="1"/>
  <c r="AQ87" i="18" s="1"/>
  <c r="AR87" i="18" s="1"/>
  <c r="AS87" i="18" s="1"/>
  <c r="AT87" i="18" s="1"/>
  <c r="AU87" i="18" s="1"/>
  <c r="AV87" i="18" s="1"/>
  <c r="AW87" i="18" s="1"/>
  <c r="AX87" i="18" s="1"/>
  <c r="AY87" i="18" s="1"/>
  <c r="AZ87" i="18" s="1"/>
  <c r="BA87" i="18" s="1"/>
  <c r="K43" i="18"/>
  <c r="L43" i="18" s="1"/>
  <c r="M43" i="18" s="1"/>
  <c r="N43" i="18" s="1"/>
  <c r="O43" i="18" s="1"/>
  <c r="P43" i="18" s="1"/>
  <c r="Q43" i="18" s="1"/>
  <c r="R43" i="18" s="1"/>
  <c r="S43" i="18" s="1"/>
  <c r="T43" i="18" s="1"/>
  <c r="U43" i="18" s="1"/>
  <c r="V43" i="18" s="1"/>
  <c r="W43" i="18" s="1"/>
  <c r="X43" i="18" s="1"/>
  <c r="Y43" i="18" s="1"/>
  <c r="Z43" i="18" s="1"/>
  <c r="AA43" i="18" s="1"/>
  <c r="AB43" i="18" s="1"/>
  <c r="AC43" i="18" s="1"/>
  <c r="AD43" i="18" s="1"/>
  <c r="AE43" i="18" s="1"/>
  <c r="AF43" i="18" s="1"/>
  <c r="AG43" i="18" s="1"/>
  <c r="AH43" i="18" s="1"/>
  <c r="AI43" i="18" s="1"/>
  <c r="AJ43" i="18" s="1"/>
  <c r="AK43" i="18" s="1"/>
  <c r="AI91" i="16"/>
  <c r="AI88" i="16"/>
  <c r="AJ89" i="16"/>
  <c r="AJ90" i="16" s="1"/>
  <c r="AH98" i="16"/>
  <c r="AI96" i="16"/>
  <c r="AI97" i="16" s="1"/>
  <c r="AH95" i="16"/>
  <c r="AN56" i="16"/>
  <c r="AO54" i="16"/>
  <c r="AO55" i="16" s="1"/>
  <c r="AN53" i="16"/>
  <c r="AU88" i="16"/>
  <c r="AV89" i="16"/>
  <c r="AV90" i="16" s="1"/>
  <c r="AU91" i="16"/>
  <c r="AL96" i="16"/>
  <c r="AL97" i="16" s="1"/>
  <c r="AK95" i="16"/>
  <c r="AK98" i="16"/>
  <c r="AM98" i="16"/>
  <c r="AM95" i="16"/>
  <c r="AN96" i="16"/>
  <c r="AN97" i="16" s="1"/>
  <c r="AQ96" i="16"/>
  <c r="AQ97" i="16" s="1"/>
  <c r="AP95" i="16"/>
  <c r="AP98" i="16"/>
  <c r="AW98" i="16"/>
  <c r="AX96" i="16"/>
  <c r="AX97" i="16" s="1"/>
  <c r="AW95" i="16"/>
  <c r="AU81" i="16"/>
  <c r="AV82" i="16"/>
  <c r="AV83" i="16" s="1"/>
  <c r="AU84" i="16"/>
  <c r="AM96" i="16"/>
  <c r="AM97" i="16" s="1"/>
  <c r="AL95" i="16"/>
  <c r="AL98" i="16"/>
  <c r="AS95" i="16"/>
  <c r="AS98" i="16"/>
  <c r="AT96" i="16"/>
  <c r="AT97" i="16" s="1"/>
  <c r="AN82" i="16"/>
  <c r="AN83" i="16" s="1"/>
  <c r="AM81" i="16"/>
  <c r="AM84" i="16"/>
  <c r="AN105" i="16"/>
  <c r="AO103" i="16"/>
  <c r="AO104" i="16" s="1"/>
  <c r="AN102" i="16"/>
  <c r="AK77" i="16"/>
  <c r="AK74" i="16"/>
  <c r="AL75" i="16"/>
  <c r="AL76" i="16" s="1"/>
  <c r="AU42" i="16"/>
  <c r="AU39" i="16"/>
  <c r="AV40" i="16"/>
  <c r="AV41" i="16" s="1"/>
  <c r="AJ42" i="16"/>
  <c r="AJ39" i="16"/>
  <c r="AK40" i="16"/>
  <c r="AK41" i="16" s="1"/>
  <c r="AP49" i="16"/>
  <c r="AP46" i="16"/>
  <c r="AQ47" i="16"/>
  <c r="AQ48" i="16" s="1"/>
  <c r="AO63" i="16"/>
  <c r="AO60" i="16"/>
  <c r="AP61" i="16"/>
  <c r="AP62" i="16" s="1"/>
  <c r="AK88" i="16"/>
  <c r="AK91" i="16"/>
  <c r="AL89" i="16"/>
  <c r="AL90" i="16" s="1"/>
  <c r="AR53" i="16"/>
  <c r="AS54" i="16"/>
  <c r="AS55" i="16" s="1"/>
  <c r="AR56" i="16"/>
  <c r="AV75" i="16"/>
  <c r="AV76" i="16" s="1"/>
  <c r="AU74" i="16"/>
  <c r="AU77" i="16"/>
  <c r="AV63" i="16"/>
  <c r="AV60" i="16"/>
  <c r="AW61" i="16"/>
  <c r="AW62" i="16" s="1"/>
  <c r="AI56" i="16"/>
  <c r="AI53" i="16"/>
  <c r="AJ54" i="16"/>
  <c r="AJ55" i="16" s="1"/>
  <c r="AS105" i="16"/>
  <c r="AT103" i="16"/>
  <c r="AT104" i="16" s="1"/>
  <c r="AS102" i="16"/>
  <c r="AK39" i="16"/>
  <c r="AK42" i="16"/>
  <c r="AL40" i="16"/>
  <c r="AL41" i="16" s="1"/>
  <c r="AX68" i="16"/>
  <c r="AX69" i="16" s="1"/>
  <c r="AW67" i="16"/>
  <c r="AW70" i="16"/>
  <c r="AM53" i="16"/>
  <c r="AN54" i="16"/>
  <c r="AN55" i="16" s="1"/>
  <c r="AM56" i="16"/>
  <c r="AO61" i="16"/>
  <c r="AO62" i="16" s="1"/>
  <c r="AN60" i="16"/>
  <c r="AN63" i="16"/>
  <c r="AP67" i="16"/>
  <c r="AQ68" i="16"/>
  <c r="AQ69" i="16" s="1"/>
  <c r="AP70" i="16"/>
  <c r="AK102" i="16"/>
  <c r="AK105" i="16"/>
  <c r="AL103" i="16"/>
  <c r="AL104" i="16" s="1"/>
  <c r="AR77" i="16"/>
  <c r="AS75" i="16"/>
  <c r="AS76" i="16" s="1"/>
  <c r="AR74" i="16"/>
  <c r="AX42" i="16"/>
  <c r="AX39" i="16"/>
  <c r="AS49" i="16"/>
  <c r="AT47" i="16"/>
  <c r="AT48" i="16" s="1"/>
  <c r="AS46" i="16"/>
  <c r="AJ63" i="16"/>
  <c r="AJ60" i="16"/>
  <c r="AK61" i="16"/>
  <c r="AK62" i="16" s="1"/>
  <c r="AQ56" i="16"/>
  <c r="AR54" i="16"/>
  <c r="AR55" i="16" s="1"/>
  <c r="AQ53" i="16"/>
  <c r="AV70" i="16"/>
  <c r="AV67" i="16"/>
  <c r="AW68" i="16"/>
  <c r="AW69" i="16" s="1"/>
  <c r="AH105" i="16"/>
  <c r="AI103" i="16"/>
  <c r="AI104" i="16" s="1"/>
  <c r="AH102" i="16"/>
  <c r="AX105" i="16"/>
  <c r="AX102" i="16"/>
  <c r="AL46" i="16"/>
  <c r="AL49" i="16"/>
  <c r="AM47" i="16"/>
  <c r="AM48" i="16" s="1"/>
  <c r="AL61" i="16"/>
  <c r="AL62" i="16" s="1"/>
  <c r="AK63" i="16"/>
  <c r="AK60" i="16"/>
  <c r="AM61" i="16"/>
  <c r="AM62" i="16" s="1"/>
  <c r="AL63" i="16"/>
  <c r="AL60" i="16"/>
  <c r="AO77" i="16"/>
  <c r="AP75" i="16"/>
  <c r="AP76" i="16" s="1"/>
  <c r="AO74" i="16"/>
  <c r="K59" i="18"/>
  <c r="L59" i="18" s="1"/>
  <c r="M59" i="18" s="1"/>
  <c r="N59" i="18" s="1"/>
  <c r="O59" i="18" s="1"/>
  <c r="P59" i="18" s="1"/>
  <c r="Q59" i="18" s="1"/>
  <c r="R59" i="18" s="1"/>
  <c r="S59" i="18" s="1"/>
  <c r="T59" i="18" s="1"/>
  <c r="U59" i="18" s="1"/>
  <c r="V59" i="18" s="1"/>
  <c r="W59" i="18" s="1"/>
  <c r="X59" i="18" s="1"/>
  <c r="Y59" i="18" s="1"/>
  <c r="Z59" i="18" s="1"/>
  <c r="AA59" i="18" s="1"/>
  <c r="AB59" i="18" s="1"/>
  <c r="AC59" i="18" s="1"/>
  <c r="AD59" i="18" s="1"/>
  <c r="AE59" i="18" s="1"/>
  <c r="AF59" i="18" s="1"/>
  <c r="AG59" i="18" s="1"/>
  <c r="AH59" i="18" s="1"/>
  <c r="AI59" i="18" s="1"/>
  <c r="AJ59" i="18" s="1"/>
  <c r="AK59" i="18" s="1"/>
  <c r="K75" i="18"/>
  <c r="L75" i="18" s="1"/>
  <c r="M75" i="18" s="1"/>
  <c r="N75" i="18" s="1"/>
  <c r="O75" i="18" s="1"/>
  <c r="P75" i="18" s="1"/>
  <c r="Q75" i="18" s="1"/>
  <c r="R75" i="18" s="1"/>
  <c r="S75" i="18" s="1"/>
  <c r="T75" i="18" s="1"/>
  <c r="U75" i="18" s="1"/>
  <c r="V75" i="18" s="1"/>
  <c r="W75" i="18" s="1"/>
  <c r="X75" i="18" s="1"/>
  <c r="Y75" i="18" s="1"/>
  <c r="Z75" i="18" s="1"/>
  <c r="AA75" i="18" s="1"/>
  <c r="AB75" i="18" s="1"/>
  <c r="AC75" i="18" s="1"/>
  <c r="AD75" i="18" s="1"/>
  <c r="AE75" i="18" s="1"/>
  <c r="AF75" i="18" s="1"/>
  <c r="AG75" i="18" s="1"/>
  <c r="AH75" i="18" s="1"/>
  <c r="AI75" i="18" s="1"/>
  <c r="AJ75" i="18" s="1"/>
  <c r="AK75" i="18" s="1"/>
  <c r="AL75" i="18" s="1"/>
  <c r="AM75" i="18" s="1"/>
  <c r="AN75" i="18" s="1"/>
  <c r="AO75" i="18" s="1"/>
  <c r="AP75" i="18" s="1"/>
  <c r="AQ75" i="18" s="1"/>
  <c r="AR75" i="18" s="1"/>
  <c r="AS75" i="18" s="1"/>
  <c r="AT75" i="18" s="1"/>
  <c r="AU75" i="18" s="1"/>
  <c r="AV75" i="18" s="1"/>
  <c r="AW75" i="18" s="1"/>
  <c r="AX75" i="18" s="1"/>
  <c r="AY75" i="18" s="1"/>
  <c r="AZ75" i="18" s="1"/>
  <c r="BA75" i="18" s="1"/>
  <c r="AX88" i="16"/>
  <c r="AX91" i="16"/>
  <c r="AU98" i="16"/>
  <c r="AU95" i="16"/>
  <c r="AV96" i="16"/>
  <c r="AV97" i="16" s="1"/>
  <c r="AX98" i="16"/>
  <c r="AX95" i="16"/>
  <c r="AX81" i="16"/>
  <c r="AX84" i="16"/>
  <c r="AT91" i="16"/>
  <c r="AT88" i="16"/>
  <c r="AU89" i="16"/>
  <c r="AU90" i="16" s="1"/>
  <c r="AN84" i="16"/>
  <c r="AN81" i="16"/>
  <c r="AO82" i="16"/>
  <c r="AO83" i="16" s="1"/>
  <c r="AQ91" i="16"/>
  <c r="AQ88" i="16"/>
  <c r="AR89" i="16"/>
  <c r="AR90" i="16" s="1"/>
  <c r="AQ98" i="16"/>
  <c r="AR96" i="16"/>
  <c r="AR97" i="16" s="1"/>
  <c r="AQ95" i="16"/>
  <c r="AM88" i="16"/>
  <c r="AN89" i="16"/>
  <c r="AN90" i="16" s="1"/>
  <c r="AM91" i="16"/>
  <c r="AI98" i="16"/>
  <c r="AJ96" i="16"/>
  <c r="AJ97" i="16" s="1"/>
  <c r="AI95" i="16"/>
  <c r="AV84" i="16"/>
  <c r="AV81" i="16"/>
  <c r="AW82" i="16"/>
  <c r="AW83" i="16" s="1"/>
  <c r="AH53" i="16"/>
  <c r="AI54" i="16"/>
  <c r="AI55" i="16" s="1"/>
  <c r="AH56" i="16"/>
  <c r="AI70" i="16"/>
  <c r="AJ68" i="16"/>
  <c r="AJ69" i="16" s="1"/>
  <c r="AI67" i="16"/>
  <c r="AM63" i="16"/>
  <c r="AM60" i="16"/>
  <c r="AN61" i="16"/>
  <c r="AN62" i="16" s="1"/>
  <c r="AR105" i="16"/>
  <c r="AS103" i="16"/>
  <c r="AS104" i="16" s="1"/>
  <c r="AR102" i="16"/>
  <c r="AQ74" i="16"/>
  <c r="AQ77" i="16"/>
  <c r="AR75" i="16"/>
  <c r="AR76" i="16" s="1"/>
  <c r="AN49" i="16"/>
  <c r="AN46" i="16"/>
  <c r="AO47" i="16"/>
  <c r="AO48" i="16" s="1"/>
  <c r="AR42" i="16"/>
  <c r="AS40" i="16"/>
  <c r="AS41" i="16" s="1"/>
  <c r="AR39" i="16"/>
  <c r="AX49" i="16"/>
  <c r="AX46" i="16"/>
  <c r="AW63" i="16"/>
  <c r="AX61" i="16"/>
  <c r="AX62" i="16" s="1"/>
  <c r="AW60" i="16"/>
  <c r="AP77" i="16"/>
  <c r="AQ75" i="16"/>
  <c r="AQ76" i="16" s="1"/>
  <c r="AP74" i="16"/>
  <c r="AT89" i="16"/>
  <c r="AT90" i="16" s="1"/>
  <c r="AS91" i="16"/>
  <c r="AS88" i="16"/>
  <c r="AR70" i="16"/>
  <c r="AR67" i="16"/>
  <c r="AS68" i="16"/>
  <c r="AS69" i="16" s="1"/>
  <c r="AU49" i="16"/>
  <c r="AV47" i="16"/>
  <c r="AV48" i="16" s="1"/>
  <c r="AU46" i="16"/>
  <c r="AW49" i="16"/>
  <c r="AX47" i="16"/>
  <c r="AX48" i="16" s="1"/>
  <c r="AW46" i="16"/>
  <c r="AW77" i="16"/>
  <c r="AX75" i="16"/>
  <c r="AX76" i="16" s="1"/>
  <c r="AW74" i="16"/>
  <c r="AM67" i="16"/>
  <c r="AM70" i="16"/>
  <c r="AN68" i="16"/>
  <c r="AN69" i="16" s="1"/>
  <c r="AT42" i="16"/>
  <c r="AU40" i="16"/>
  <c r="AU41" i="16" s="1"/>
  <c r="AT39" i="16"/>
  <c r="AP56" i="16"/>
  <c r="AP53" i="16"/>
  <c r="AQ54" i="16"/>
  <c r="AQ55" i="16" s="1"/>
  <c r="AP103" i="16"/>
  <c r="AP104" i="16" s="1"/>
  <c r="AO102" i="16"/>
  <c r="AO105" i="16"/>
  <c r="AJ82" i="16"/>
  <c r="AJ83" i="16" s="1"/>
  <c r="AI81" i="16"/>
  <c r="AI84" i="16"/>
  <c r="AI49" i="16"/>
  <c r="AJ47" i="16"/>
  <c r="AJ48" i="16" s="1"/>
  <c r="AI46" i="16"/>
  <c r="AR63" i="16"/>
  <c r="AS61" i="16"/>
  <c r="AS62" i="16" s="1"/>
  <c r="AR60" i="16"/>
  <c r="AT74" i="16"/>
  <c r="AU75" i="16"/>
  <c r="AU76" i="16" s="1"/>
  <c r="AT77" i="16"/>
  <c r="AO89" i="16"/>
  <c r="AO90" i="16" s="1"/>
  <c r="AN88" i="16"/>
  <c r="AN91" i="16"/>
  <c r="AX54" i="16"/>
  <c r="AX55" i="16" s="1"/>
  <c r="AW53" i="16"/>
  <c r="AW56" i="16"/>
  <c r="AI63" i="16"/>
  <c r="AJ61" i="16"/>
  <c r="AJ62" i="16" s="1"/>
  <c r="AI60" i="16"/>
  <c r="AM103" i="16"/>
  <c r="AM104" i="16" s="1"/>
  <c r="AL105" i="16"/>
  <c r="AL102" i="16"/>
  <c r="AI77" i="16"/>
  <c r="AJ75" i="16"/>
  <c r="AJ76" i="16" s="1"/>
  <c r="AI74" i="16"/>
  <c r="AR82" i="16"/>
  <c r="AR83" i="16" s="1"/>
  <c r="AQ81" i="16"/>
  <c r="AQ84" i="16"/>
  <c r="AK47" i="16"/>
  <c r="AK48" i="16" s="1"/>
  <c r="AJ46" i="16"/>
  <c r="AJ49" i="16"/>
  <c r="AO40" i="16"/>
  <c r="AO41" i="16" s="1"/>
  <c r="AN42" i="16"/>
  <c r="AN39" i="16"/>
  <c r="AT49" i="16"/>
  <c r="AU47" i="16"/>
  <c r="AU48" i="16" s="1"/>
  <c r="AT46" i="16"/>
  <c r="AT61" i="16"/>
  <c r="AT62" i="16" s="1"/>
  <c r="AS60" i="16"/>
  <c r="AS63" i="16"/>
  <c r="AH77" i="16"/>
  <c r="AH74" i="16"/>
  <c r="AI75" i="16"/>
  <c r="AI76" i="16" s="1"/>
  <c r="AP89" i="16"/>
  <c r="AP90" i="16" s="1"/>
  <c r="AO88" i="16"/>
  <c r="AO91" i="16"/>
  <c r="AX56" i="16"/>
  <c r="AX53" i="16"/>
  <c r="AN103" i="16"/>
  <c r="AN104" i="16" s="1"/>
  <c r="AM102" i="16"/>
  <c r="AM105" i="16"/>
  <c r="AR91" i="16"/>
  <c r="AS89" i="16"/>
  <c r="AS90" i="16" s="1"/>
  <c r="AR88" i="16"/>
  <c r="AL39" i="18" l="1"/>
  <c r="AM39" i="18" s="1"/>
  <c r="AN39" i="18" s="1"/>
  <c r="AO39" i="18" s="1"/>
  <c r="AP39" i="18" s="1"/>
  <c r="AQ39" i="18" s="1"/>
  <c r="AR39" i="18" s="1"/>
  <c r="AS39" i="18" s="1"/>
  <c r="AT39" i="18" s="1"/>
  <c r="AU39" i="18" s="1"/>
  <c r="AV39" i="18" s="1"/>
  <c r="AW39" i="18" s="1"/>
  <c r="AX39" i="18" s="1"/>
  <c r="AY39" i="18" s="1"/>
  <c r="AZ39" i="18" s="1"/>
  <c r="BA39" i="18" s="1"/>
  <c r="AL43" i="18"/>
  <c r="AM43" i="18" s="1"/>
  <c r="AN43" i="18" s="1"/>
  <c r="AO43" i="18" s="1"/>
  <c r="AP43" i="18" s="1"/>
  <c r="AQ43" i="18" s="1"/>
  <c r="AR43" i="18" s="1"/>
  <c r="AS43" i="18" s="1"/>
  <c r="AT43" i="18" s="1"/>
  <c r="AU43" i="18" s="1"/>
  <c r="AV43" i="18" s="1"/>
  <c r="AW43" i="18" s="1"/>
  <c r="AX43" i="18" s="1"/>
  <c r="AY43" i="18" s="1"/>
  <c r="AZ43" i="18" s="1"/>
  <c r="BA43" i="18" s="1"/>
  <c r="AL67" i="18"/>
  <c r="AM67" i="18" s="1"/>
  <c r="AN67" i="18" s="1"/>
  <c r="AO67" i="18" s="1"/>
  <c r="AP67" i="18" s="1"/>
  <c r="AQ67" i="18" s="1"/>
  <c r="AR67" i="18" s="1"/>
  <c r="AS67" i="18" s="1"/>
  <c r="AT67" i="18" s="1"/>
  <c r="AU67" i="18" s="1"/>
  <c r="AV67" i="18" s="1"/>
  <c r="AW67" i="18" s="1"/>
  <c r="AX67" i="18" s="1"/>
  <c r="AY67" i="18" s="1"/>
  <c r="AZ67" i="18" s="1"/>
  <c r="BA67" i="18" s="1"/>
  <c r="AL55" i="18"/>
  <c r="AM55" i="18" s="1"/>
  <c r="AN55" i="18" s="1"/>
  <c r="AO55" i="18" s="1"/>
  <c r="AP55" i="18" s="1"/>
  <c r="AQ55" i="18" s="1"/>
  <c r="AR55" i="18" s="1"/>
  <c r="AS55" i="18" s="1"/>
  <c r="AT55" i="18" s="1"/>
  <c r="AU55" i="18" s="1"/>
  <c r="AV55" i="18" s="1"/>
  <c r="AW55" i="18" s="1"/>
  <c r="AX55" i="18" s="1"/>
  <c r="AY55" i="18" s="1"/>
  <c r="AZ55" i="18" s="1"/>
  <c r="BA55" i="18" s="1"/>
  <c r="AL51" i="18"/>
  <c r="AM51" i="18" s="1"/>
  <c r="AN51" i="18" s="1"/>
  <c r="AO51" i="18" s="1"/>
  <c r="AP51" i="18" s="1"/>
  <c r="AQ51" i="18" s="1"/>
  <c r="AR51" i="18" s="1"/>
  <c r="AS51" i="18" s="1"/>
  <c r="AT51" i="18" s="1"/>
  <c r="AU51" i="18" s="1"/>
  <c r="AV51" i="18" s="1"/>
  <c r="AW51" i="18" s="1"/>
  <c r="AX51" i="18" s="1"/>
  <c r="AY51" i="18" s="1"/>
  <c r="AZ51" i="18" s="1"/>
  <c r="BA51" i="18" s="1"/>
  <c r="AL59" i="18"/>
  <c r="AM59" i="18" s="1"/>
  <c r="AN59" i="18" s="1"/>
  <c r="AO59" i="18" s="1"/>
  <c r="AP59" i="18" s="1"/>
  <c r="AQ59" i="18" s="1"/>
  <c r="AR59" i="18" s="1"/>
  <c r="AS59" i="18" s="1"/>
  <c r="AT59" i="18" s="1"/>
  <c r="AU59" i="18" s="1"/>
  <c r="AV59" i="18" s="1"/>
  <c r="AW59" i="18" s="1"/>
  <c r="AX59" i="18" s="1"/>
  <c r="AY59" i="18" s="1"/>
  <c r="AZ59" i="18" s="1"/>
  <c r="BA59" i="18" s="1"/>
  <c r="AL63" i="18"/>
  <c r="AM63" i="18" s="1"/>
  <c r="AN63" i="18" s="1"/>
  <c r="AO63" i="18" s="1"/>
  <c r="AP63" i="18" s="1"/>
  <c r="AQ63" i="18" s="1"/>
  <c r="AR63" i="18" s="1"/>
  <c r="AS63" i="18" s="1"/>
  <c r="AT63" i="18" s="1"/>
  <c r="AU63" i="18" s="1"/>
  <c r="AV63" i="18" s="1"/>
  <c r="AW63" i="18" s="1"/>
  <c r="AX63" i="18" s="1"/>
  <c r="AY63" i="18" s="1"/>
  <c r="AZ63" i="18" s="1"/>
  <c r="BA63" i="18" s="1"/>
  <c r="AL47" i="18"/>
  <c r="AM47" i="18" s="1"/>
  <c r="AN47" i="18" s="1"/>
  <c r="AO47" i="18" s="1"/>
  <c r="AP47" i="18" s="1"/>
  <c r="AQ47" i="18" s="1"/>
  <c r="AR47" i="18" s="1"/>
  <c r="AS47" i="18" s="1"/>
  <c r="AT47" i="18" s="1"/>
  <c r="AU47" i="18" s="1"/>
  <c r="AV47" i="18" s="1"/>
  <c r="AW47" i="18" s="1"/>
  <c r="AX47" i="18" s="1"/>
  <c r="AY47" i="18" s="1"/>
  <c r="AZ47" i="18" s="1"/>
  <c r="BA47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Jeff Schaal</author>
  </authors>
  <commentList>
    <comment ref="AJ11" authorId="0" shapeId="0" xr:uid="{7605A47A-46A2-4E3E-BCE4-4E1D82FA7730}">
      <text>
        <r>
          <rPr>
            <b/>
            <sz val="9"/>
            <color indexed="81"/>
            <rFont val="Tahoma"/>
            <family val="2"/>
          </rPr>
          <t>Jeff Schaal:</t>
        </r>
        <r>
          <rPr>
            <sz val="9"/>
            <color indexed="81"/>
            <rFont val="Tahoma"/>
            <family val="2"/>
          </rPr>
          <t xml:space="preserve">
Tumor is up high on leg, not where the intiial tumor and treatment were. It could be a second site growing in.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Jeff Schaal</author>
  </authors>
  <commentList>
    <comment ref="O12" authorId="0" shapeId="0" xr:uid="{36C67CAB-9D14-4547-B39E-B5A21A204C70}">
      <text>
        <r>
          <rPr>
            <b/>
            <sz val="9"/>
            <color indexed="81"/>
            <rFont val="Tahoma"/>
            <family val="2"/>
          </rPr>
          <t>Jeff Schaal:</t>
        </r>
        <r>
          <rPr>
            <sz val="9"/>
            <color indexed="81"/>
            <rFont val="Tahoma"/>
            <family val="2"/>
          </rPr>
          <t xml:space="preserve">
Other mice appear to be bullying.  Separated into a second cage and gave H2O gel supplement.  Will monitor for 1 more day before euthanizing.</t>
        </r>
      </text>
    </comment>
  </commentList>
</comments>
</file>

<file path=xl/sharedStrings.xml><?xml version="1.0" encoding="utf-8"?>
<sst xmlns="http://schemas.openxmlformats.org/spreadsheetml/2006/main" count="2056" uniqueCount="84">
  <si>
    <t>ADMINISTRATION DATA</t>
  </si>
  <si>
    <t>Date</t>
  </si>
  <si>
    <t>Weight</t>
  </si>
  <si>
    <t>Tumor Volume</t>
  </si>
  <si>
    <t>Calc. Activity</t>
  </si>
  <si>
    <t>CAGE</t>
  </si>
  <si>
    <t>MOUSE</t>
  </si>
  <si>
    <t>Unique Sample ID</t>
  </si>
  <si>
    <t>DAY:</t>
  </si>
  <si>
    <t>Avg:</t>
  </si>
  <si>
    <t>Group</t>
  </si>
  <si>
    <t>Std:</t>
  </si>
  <si>
    <t>INOCULATION 
DATA</t>
  </si>
  <si>
    <t>DATE:</t>
  </si>
  <si>
    <t>Trial</t>
  </si>
  <si>
    <t xml:space="preserve">       BODY WEIGHT</t>
  </si>
  <si>
    <t>Total</t>
  </si>
  <si>
    <t>Theoretical</t>
  </si>
  <si>
    <t>Theoretical:</t>
  </si>
  <si>
    <t>Excision Size</t>
  </si>
  <si>
    <t>Radiodose Escalation</t>
  </si>
  <si>
    <t>Length</t>
  </si>
  <si>
    <t>Width</t>
  </si>
  <si>
    <t>Inj. ELP Vol.</t>
  </si>
  <si>
    <t>Radio dose uCi/mg</t>
  </si>
  <si>
    <t>%Dose</t>
  </si>
  <si>
    <t>Count</t>
  </si>
  <si>
    <t>Experimental Groups</t>
  </si>
  <si>
    <t>Avg</t>
  </si>
  <si>
    <t>StDev</t>
  </si>
  <si>
    <t xml:space="preserve">Body Weight </t>
  </si>
  <si>
    <t>Radioactivity</t>
  </si>
  <si>
    <t>Activity</t>
  </si>
  <si>
    <t xml:space="preserve">       WHOLE BODY RADIOACTIVITY</t>
  </si>
  <si>
    <r>
      <rPr>
        <b/>
        <sz val="11"/>
        <color theme="1"/>
        <rFont val="Times New Roman"/>
        <family val="1"/>
      </rPr>
      <t xml:space="preserve">Theor </t>
    </r>
    <r>
      <rPr>
        <b/>
        <sz val="11"/>
        <color theme="1"/>
        <rFont val="Mathematica1"/>
        <charset val="2"/>
      </rPr>
      <t>D:</t>
    </r>
  </si>
  <si>
    <r>
      <t xml:space="preserve">D2D </t>
    </r>
    <r>
      <rPr>
        <b/>
        <sz val="11"/>
        <color theme="1"/>
        <rFont val="Mathematica1"/>
        <charset val="2"/>
      </rPr>
      <t>D</t>
    </r>
    <r>
      <rPr>
        <b/>
        <sz val="11"/>
        <color theme="1"/>
        <rFont val="Times New Roman"/>
        <family val="1"/>
      </rPr>
      <t>:</t>
    </r>
  </si>
  <si>
    <t>Survival</t>
  </si>
  <si>
    <t xml:space="preserve">       SURVIVAL</t>
  </si>
  <si>
    <t>Group 11</t>
  </si>
  <si>
    <t>Group 12</t>
  </si>
  <si>
    <t>Group 13</t>
  </si>
  <si>
    <t>Group 14</t>
  </si>
  <si>
    <t>Group 15</t>
  </si>
  <si>
    <t>Group 16</t>
  </si>
  <si>
    <r>
      <t>Tumor Volume (mm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</si>
  <si>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r>
      <t>Radiation Dose (uCi/mm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</si>
  <si>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t>Body Weight
(g)</t>
  </si>
  <si>
    <t>List of Groups</t>
  </si>
  <si>
    <t>D2D Theor:</t>
  </si>
  <si>
    <t>Retention (Decay corrected)</t>
  </si>
  <si>
    <t>Surviving:</t>
  </si>
  <si>
    <t>Censored:</t>
  </si>
  <si>
    <t>Surviving</t>
  </si>
  <si>
    <t>Surv. Prob:</t>
  </si>
  <si>
    <t xml:space="preserve">       PERCENT CHANGE</t>
  </si>
  <si>
    <t xml:space="preserve">       PERCENT GROWTH</t>
  </si>
  <si>
    <t>Orthotopic Combotherapy</t>
  </si>
  <si>
    <t>G2 DAY:</t>
  </si>
  <si>
    <t>G2 DATE:</t>
  </si>
  <si>
    <r>
      <rPr>
        <b/>
        <vertAlign val="superscript"/>
        <sz val="10"/>
        <rFont val="Times New Roman"/>
        <family val="1"/>
      </rPr>
      <t>131</t>
    </r>
    <r>
      <rPr>
        <b/>
        <sz val="10"/>
        <rFont val="Times New Roman"/>
        <family val="1"/>
      </rPr>
      <t>I Activity</t>
    </r>
  </si>
  <si>
    <t>Group 10</t>
  </si>
  <si>
    <t>BxPc3 - CP-PTX Combo</t>
  </si>
  <si>
    <t>AsPc-1 - Control</t>
  </si>
  <si>
    <t>AsPc-1 - CP-PTX Combo</t>
  </si>
  <si>
    <t>MIA PaCa-2 - Control</t>
  </si>
  <si>
    <t>MIA PaCa-2 - CP-PTX Combo</t>
  </si>
  <si>
    <t xml:space="preserve">       TUMOR Volume</t>
  </si>
  <si>
    <t>AsPc-1</t>
  </si>
  <si>
    <t>MIA PaCa-2</t>
  </si>
  <si>
    <t>Cell Line</t>
  </si>
  <si>
    <t>CP-PTX</t>
  </si>
  <si>
    <t>nAb PTX</t>
  </si>
  <si>
    <t>Alive</t>
  </si>
  <si>
    <t>Not Included</t>
  </si>
  <si>
    <t>Sacrificed</t>
  </si>
  <si>
    <t>Group 6</t>
  </si>
  <si>
    <t>Group 7</t>
  </si>
  <si>
    <t>Group 8</t>
  </si>
  <si>
    <t>Group 9</t>
  </si>
  <si>
    <t>Excluded</t>
  </si>
  <si>
    <t>Group 4</t>
  </si>
  <si>
    <t>Group 5</t>
  </si>
  <si>
    <r>
      <t>AsPc-1 Therapy, 2</t>
    </r>
    <r>
      <rPr>
        <b/>
        <vertAlign val="superscript"/>
        <sz val="18"/>
        <color theme="1"/>
        <rFont val="Garamond"/>
        <family val="1"/>
      </rPr>
      <t>nd</t>
    </r>
    <r>
      <rPr>
        <b/>
        <sz val="18"/>
        <color theme="1"/>
        <rFont val="Garamond"/>
        <family val="1"/>
      </rPr>
      <t xml:space="preserve"> Repeat Trial</t>
    </r>
  </si>
  <si>
    <t>AsPc-1 &amp; MIA PaCa-2  Therapy 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</si>
</sst>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E+00"/>
    <numFmt numFmtId="165" formatCode="0.0"/>
    <numFmt numFmtId="166" formatCode="[$-409]d\-mmm;@"/>
    <numFmt numFmtId="167" formatCode="0.000"/>
    <numFmt numFmtId="168" formatCode="0.0%"/>
    <numFmt numFmtId="169" formatCode="0.00000"/>
  </numFmts>
  <fonts count="3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3"/>
      <name val="Times New Roman"/>
      <family val="1"/>
    </font>
    <font>
      <sz val="10"/>
      <color theme="4" tint="-0.249977111117893"/>
      <name val="Times New Roman"/>
      <family val="1"/>
    </font>
    <font>
      <b/>
      <sz val="10"/>
      <name val="Times New Roman"/>
      <family val="1"/>
    </font>
    <font>
      <sz val="16"/>
      <color theme="4" tint="-0.249977111117893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C00000"/>
      <name val="Times New Roman"/>
      <family val="1"/>
    </font>
    <font>
      <b/>
      <sz val="11"/>
      <color theme="1"/>
      <name val="Mathematica1"/>
      <charset val="2"/>
    </font>
    <font>
      <sz val="11"/>
      <color theme="1"/>
      <name val="Garamond"/>
      <family val="1"/>
    </font>
    <font>
      <b/>
      <u/>
      <sz val="11"/>
      <color theme="1"/>
      <name val="Garamond"/>
      <family val="1"/>
    </font>
    <font>
      <b/>
      <sz val="18"/>
      <color theme="1"/>
      <name val="Garamond"/>
      <family val="1"/>
    </font>
    <font>
      <b/>
      <sz val="11"/>
      <color theme="1"/>
      <name val="Garamond"/>
      <family val="1"/>
    </font>
    <font>
      <sz val="10"/>
      <color theme="1"/>
      <name val="Garamond"/>
      <family val="1"/>
    </font>
    <font>
      <i/>
      <sz val="11"/>
      <color theme="1"/>
      <name val="Garamond"/>
      <family val="1"/>
    </font>
    <font>
      <b/>
      <sz val="12"/>
      <color rgb="FF008000"/>
      <name val="Times New Roman"/>
      <family val="1"/>
    </font>
    <font>
      <b/>
      <sz val="12"/>
      <color theme="7" tint="-0.249977111117893"/>
      <name val="Times New Roman"/>
      <family val="1"/>
    </font>
    <font>
      <b/>
      <vertAlign val="superscript"/>
      <sz val="11"/>
      <color theme="1"/>
      <name val="Garamond"/>
      <family val="1"/>
    </font>
    <font>
      <b/>
      <sz val="12"/>
      <name val="Times New Roman"/>
      <family val="1"/>
    </font>
    <font>
      <b/>
      <vertAlign val="superscript"/>
      <sz val="10"/>
      <name val="Times New Roman"/>
      <family val="1"/>
    </font>
    <font>
      <b/>
      <sz val="9"/>
      <color rgb="FFC0000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18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/>
      <diagonal/>
    </border>
    <border>
      <left/>
      <right style="thin">
        <color indexed="64"/>
      </right>
      <top style="dott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327">
    <xf numFmtId="0" fontId="0" fillId="0" borderId="0" xfId="0"/>
    <xf numFmtId="0" fontId="1" fillId="0" borderId="6" xfId="0" applyFont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14" fontId="11" fillId="0" borderId="0" xfId="0" applyNumberFormat="1" applyFont="1" applyProtection="1">
      <protection locked="0"/>
    </xf>
    <xf numFmtId="165" fontId="11" fillId="0" borderId="0" xfId="0" applyNumberFormat="1" applyFont="1" applyProtection="1">
      <protection locked="0"/>
    </xf>
    <xf numFmtId="164" fontId="11" fillId="0" borderId="0" xfId="0" applyNumberFormat="1" applyFont="1" applyProtection="1"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2" fillId="0" borderId="10" xfId="0" applyFont="1" applyBorder="1" applyProtection="1">
      <protection locked="0"/>
    </xf>
    <xf numFmtId="14" fontId="2" fillId="0" borderId="2" xfId="0" applyNumberFormat="1" applyFont="1" applyBorder="1" applyProtection="1">
      <protection locked="0"/>
    </xf>
    <xf numFmtId="165" fontId="2" fillId="0" borderId="0" xfId="0" applyNumberFormat="1" applyFont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8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1" xfId="0" applyNumberFormat="1" applyFont="1" applyBorder="1" applyProtection="1">
      <protection locked="0"/>
    </xf>
    <xf numFmtId="165" fontId="1" fillId="0" borderId="4" xfId="0" applyNumberFormat="1" applyFont="1" applyBorder="1" applyProtection="1">
      <protection locked="0"/>
    </xf>
    <xf numFmtId="165" fontId="1" fillId="0" borderId="12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14" xfId="0" applyFont="1" applyBorder="1" applyProtection="1">
      <protection locked="0"/>
    </xf>
    <xf numFmtId="165" fontId="1" fillId="0" borderId="6" xfId="0" applyNumberFormat="1" applyFont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14" fontId="1" fillId="0" borderId="15" xfId="0" applyNumberFormat="1" applyFont="1" applyBorder="1" applyProtection="1">
      <protection locked="0"/>
    </xf>
    <xf numFmtId="165" fontId="1" fillId="0" borderId="8" xfId="0" applyNumberFormat="1" applyFont="1" applyBorder="1" applyProtection="1">
      <protection locked="0"/>
    </xf>
    <xf numFmtId="165" fontId="1" fillId="0" borderId="16" xfId="0" applyNumberFormat="1" applyFont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165" fontId="1" fillId="0" borderId="0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Protection="1">
      <protection locked="0"/>
    </xf>
    <xf numFmtId="0" fontId="7" fillId="0" borderId="2" xfId="0" applyFont="1" applyBorder="1" applyAlignment="1" applyProtection="1"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2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165" fontId="1" fillId="0" borderId="0" xfId="0" applyNumberFormat="1" applyFont="1" applyProtection="1">
      <protection locked="0"/>
    </xf>
    <xf numFmtId="164" fontId="1" fillId="0" borderId="0" xfId="0" applyNumberFormat="1" applyFont="1" applyProtection="1">
      <protection locked="0"/>
    </xf>
    <xf numFmtId="166" fontId="4" fillId="0" borderId="0" xfId="0" applyNumberFormat="1" applyFont="1" applyBorder="1" applyAlignment="1" applyProtection="1">
      <alignment horizontal="left"/>
      <protection locked="0"/>
    </xf>
    <xf numFmtId="166" fontId="4" fillId="0" borderId="0" xfId="0" applyNumberFormat="1" applyFont="1" applyBorder="1" applyAlignment="1" applyProtection="1">
      <alignment horizontal="center"/>
      <protection locked="0"/>
    </xf>
    <xf numFmtId="166" fontId="6" fillId="0" borderId="0" xfId="0" applyNumberFormat="1" applyFont="1" applyBorder="1" applyProtection="1">
      <protection locked="0"/>
    </xf>
    <xf numFmtId="166" fontId="4" fillId="0" borderId="10" xfId="0" applyNumberFormat="1" applyFont="1" applyBorder="1" applyProtection="1">
      <protection locked="0"/>
    </xf>
    <xf numFmtId="166" fontId="4" fillId="0" borderId="2" xfId="0" applyNumberFormat="1" applyFont="1" applyBorder="1" applyProtection="1">
      <protection locked="0"/>
    </xf>
    <xf numFmtId="166" fontId="4" fillId="0" borderId="0" xfId="0" applyNumberFormat="1" applyFont="1" applyProtection="1">
      <protection locked="0"/>
    </xf>
    <xf numFmtId="165" fontId="11" fillId="0" borderId="0" xfId="0" applyNumberFormat="1" applyFont="1" applyBorder="1" applyProtection="1">
      <protection locked="0"/>
    </xf>
    <xf numFmtId="167" fontId="11" fillId="0" borderId="0" xfId="0" applyNumberFormat="1" applyFont="1" applyBorder="1" applyProtection="1">
      <protection locked="0"/>
    </xf>
    <xf numFmtId="167" fontId="1" fillId="0" borderId="0" xfId="0" applyNumberFormat="1" applyFont="1" applyBorder="1" applyProtection="1">
      <protection locked="0"/>
    </xf>
    <xf numFmtId="9" fontId="11" fillId="0" borderId="0" xfId="1" applyFont="1" applyBorder="1" applyAlignment="1" applyProtection="1">
      <alignment horizontal="center"/>
      <protection locked="0"/>
    </xf>
    <xf numFmtId="9" fontId="1" fillId="0" borderId="0" xfId="1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14" fontId="1" fillId="0" borderId="0" xfId="0" applyNumberFormat="1" applyFont="1" applyBorder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168" fontId="1" fillId="0" borderId="4" xfId="1" applyNumberFormat="1" applyFont="1" applyBorder="1" applyAlignment="1" applyProtection="1">
      <alignment horizontal="center"/>
      <protection locked="0"/>
    </xf>
    <xf numFmtId="168" fontId="1" fillId="0" borderId="20" xfId="1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Alignment="1" applyProtection="1">
      <alignment horizontal="center"/>
      <protection locked="0"/>
    </xf>
    <xf numFmtId="168" fontId="1" fillId="0" borderId="2" xfId="1" applyNumberFormat="1" applyFont="1" applyBorder="1" applyProtection="1">
      <protection locked="0"/>
    </xf>
    <xf numFmtId="168" fontId="1" fillId="0" borderId="18" xfId="1" applyNumberFormat="1" applyFont="1" applyBorder="1" applyAlignment="1" applyProtection="1">
      <alignment horizontal="center"/>
      <protection locked="0"/>
    </xf>
    <xf numFmtId="165" fontId="1" fillId="0" borderId="4" xfId="0" applyNumberFormat="1" applyFont="1" applyBorder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165" fontId="1" fillId="0" borderId="19" xfId="0" applyNumberFormat="1" applyFont="1" applyBorder="1" applyAlignment="1" applyProtection="1">
      <alignment horizontal="center"/>
      <protection locked="0"/>
    </xf>
    <xf numFmtId="165" fontId="1" fillId="0" borderId="20" xfId="0" applyNumberFormat="1" applyFont="1" applyBorder="1" applyAlignment="1" applyProtection="1">
      <alignment horizontal="center"/>
      <protection locked="0"/>
    </xf>
    <xf numFmtId="165" fontId="1" fillId="0" borderId="0" xfId="0" applyNumberFormat="1" applyFont="1" applyBorder="1" applyAlignment="1" applyProtection="1">
      <alignment horizontal="center"/>
      <protection locked="0"/>
    </xf>
    <xf numFmtId="165" fontId="1" fillId="0" borderId="6" xfId="0" applyNumberFormat="1" applyFont="1" applyBorder="1" applyAlignment="1" applyProtection="1">
      <alignment horizontal="center"/>
      <protection locked="0"/>
    </xf>
    <xf numFmtId="165" fontId="1" fillId="0" borderId="8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14" fontId="1" fillId="0" borderId="0" xfId="0" applyNumberFormat="1" applyFont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Protection="1">
      <protection locked="0"/>
    </xf>
    <xf numFmtId="0" fontId="8" fillId="0" borderId="8" xfId="0" applyFont="1" applyBorder="1" applyProtection="1"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165" fontId="1" fillId="0" borderId="15" xfId="0" applyNumberFormat="1" applyFont="1" applyBorder="1" applyAlignment="1" applyProtection="1">
      <alignment horizontal="center"/>
      <protection locked="0"/>
    </xf>
    <xf numFmtId="0" fontId="3" fillId="0" borderId="10" xfId="0" applyFont="1" applyBorder="1" applyProtection="1"/>
    <xf numFmtId="0" fontId="3" fillId="0" borderId="0" xfId="0" applyFont="1"/>
    <xf numFmtId="0" fontId="3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166" fontId="14" fillId="0" borderId="0" xfId="0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Fill="1" applyBorder="1" applyProtection="1">
      <protection locked="0"/>
    </xf>
    <xf numFmtId="165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168" fontId="3" fillId="0" borderId="12" xfId="1" applyNumberFormat="1" applyFont="1" applyBorder="1" applyAlignment="1" applyProtection="1">
      <alignment horizontal="center"/>
      <protection locked="0"/>
    </xf>
    <xf numFmtId="168" fontId="3" fillId="0" borderId="21" xfId="1" applyNumberFormat="1" applyFont="1" applyBorder="1" applyAlignment="1" applyProtection="1">
      <alignment horizontal="center"/>
      <protection locked="0"/>
    </xf>
    <xf numFmtId="168" fontId="3" fillId="0" borderId="10" xfId="1" applyNumberFormat="1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right"/>
      <protection locked="0"/>
    </xf>
    <xf numFmtId="165" fontId="1" fillId="0" borderId="0" xfId="0" applyNumberFormat="1" applyFont="1" applyBorder="1" applyAlignment="1" applyProtection="1">
      <alignment vertical="top"/>
      <protection locked="0"/>
    </xf>
    <xf numFmtId="0" fontId="1" fillId="0" borderId="17" xfId="0" applyFont="1" applyFill="1" applyBorder="1" applyAlignment="1" applyProtection="1">
      <alignment horizontal="left"/>
      <protection locked="0"/>
    </xf>
    <xf numFmtId="0" fontId="8" fillId="0" borderId="17" xfId="0" applyFont="1" applyFill="1" applyBorder="1" applyProtection="1">
      <protection locked="0"/>
    </xf>
    <xf numFmtId="14" fontId="1" fillId="0" borderId="17" xfId="0" applyNumberFormat="1" applyFont="1" applyFill="1" applyBorder="1" applyProtection="1">
      <protection locked="0"/>
    </xf>
    <xf numFmtId="165" fontId="1" fillId="0" borderId="17" xfId="0" applyNumberFormat="1" applyFont="1" applyFill="1" applyBorder="1" applyProtection="1">
      <protection locked="0"/>
    </xf>
    <xf numFmtId="164" fontId="1" fillId="0" borderId="17" xfId="0" applyNumberFormat="1" applyFont="1" applyFill="1" applyBorder="1" applyProtection="1">
      <protection locked="0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21" fillId="0" borderId="0" xfId="0" applyFont="1" applyAlignment="1">
      <alignment horizontal="center"/>
    </xf>
    <xf numFmtId="0" fontId="5" fillId="0" borderId="0" xfId="0" applyFont="1" applyBorder="1" applyAlignment="1" applyProtection="1">
      <protection locked="0"/>
    </xf>
    <xf numFmtId="165" fontId="1" fillId="2" borderId="5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Protection="1">
      <protection locked="0"/>
    </xf>
    <xf numFmtId="14" fontId="1" fillId="0" borderId="0" xfId="0" applyNumberFormat="1" applyFont="1" applyFill="1" applyBorder="1" applyProtection="1">
      <protection locked="0"/>
    </xf>
    <xf numFmtId="165" fontId="1" fillId="0" borderId="0" xfId="0" applyNumberFormat="1" applyFont="1" applyFill="1" applyBorder="1" applyProtection="1">
      <protection locked="0"/>
    </xf>
    <xf numFmtId="165" fontId="1" fillId="0" borderId="0" xfId="0" applyNumberFormat="1" applyFont="1" applyFill="1" applyBorder="1" applyAlignment="1" applyProtection="1">
      <alignment horizontal="center"/>
      <protection locked="0"/>
    </xf>
    <xf numFmtId="14" fontId="2" fillId="0" borderId="0" xfId="0" applyNumberFormat="1" applyFont="1" applyBorder="1" applyAlignment="1" applyProtection="1">
      <alignment vertical="top"/>
      <protection locked="0"/>
    </xf>
    <xf numFmtId="0" fontId="3" fillId="0" borderId="12" xfId="0" applyFont="1" applyBorder="1" applyAlignment="1" applyProtection="1">
      <alignment horizontal="right"/>
      <protection locked="0"/>
    </xf>
    <xf numFmtId="168" fontId="1" fillId="0" borderId="0" xfId="1" applyNumberFormat="1" applyFont="1" applyBorder="1" applyProtection="1">
      <protection locked="0"/>
    </xf>
    <xf numFmtId="168" fontId="15" fillId="0" borderId="10" xfId="1" applyNumberFormat="1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horizontal="right"/>
      <protection locked="0"/>
    </xf>
    <xf numFmtId="0" fontId="3" fillId="0" borderId="21" xfId="0" applyFont="1" applyBorder="1" applyAlignment="1" applyProtection="1">
      <alignment horizontal="right"/>
      <protection locked="0"/>
    </xf>
    <xf numFmtId="168" fontId="3" fillId="0" borderId="12" xfId="1" applyNumberFormat="1" applyFont="1" applyBorder="1" applyAlignment="1" applyProtection="1">
      <alignment horizontal="right"/>
      <protection locked="0"/>
    </xf>
    <xf numFmtId="168" fontId="3" fillId="0" borderId="21" xfId="1" applyNumberFormat="1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protection locked="0"/>
    </xf>
    <xf numFmtId="2" fontId="20" fillId="0" borderId="0" xfId="0" applyNumberFormat="1" applyFont="1" applyAlignment="1">
      <alignment horizontal="center"/>
    </xf>
    <xf numFmtId="2" fontId="1" fillId="0" borderId="4" xfId="1" applyNumberFormat="1" applyFont="1" applyBorder="1" applyAlignment="1" applyProtection="1">
      <alignment horizontal="center"/>
      <protection locked="0"/>
    </xf>
    <xf numFmtId="2" fontId="1" fillId="0" borderId="1" xfId="1" applyNumberFormat="1" applyFont="1" applyBorder="1" applyAlignment="1" applyProtection="1">
      <alignment horizontal="center"/>
      <protection locked="0"/>
    </xf>
    <xf numFmtId="168" fontId="1" fillId="0" borderId="4" xfId="1" applyNumberFormat="1" applyFont="1" applyBorder="1" applyProtection="1">
      <protection locked="0"/>
    </xf>
    <xf numFmtId="168" fontId="1" fillId="0" borderId="1" xfId="1" applyNumberFormat="1" applyFont="1" applyBorder="1" applyProtection="1">
      <protection locked="0"/>
    </xf>
    <xf numFmtId="0" fontId="3" fillId="0" borderId="10" xfId="0" applyFont="1" applyBorder="1" applyAlignment="1" applyProtection="1">
      <alignment horizontal="right"/>
      <protection locked="0"/>
    </xf>
    <xf numFmtId="0" fontId="17" fillId="0" borderId="0" xfId="0" applyFont="1" applyAlignment="1">
      <alignment horizontal="center"/>
    </xf>
    <xf numFmtId="168" fontId="1" fillId="0" borderId="0" xfId="1" applyNumberFormat="1" applyFont="1" applyFill="1" applyBorder="1" applyAlignment="1" applyProtection="1">
      <alignment horizontal="center"/>
      <protection locked="0"/>
    </xf>
    <xf numFmtId="168" fontId="1" fillId="0" borderId="19" xfId="1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Protection="1">
      <protection locked="0"/>
    </xf>
    <xf numFmtId="0" fontId="17" fillId="0" borderId="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2" fontId="20" fillId="0" borderId="0" xfId="0" applyNumberFormat="1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1" fillId="0" borderId="0" xfId="1" applyNumberFormat="1" applyFont="1" applyBorder="1" applyAlignment="1" applyProtection="1">
      <alignment horizontal="center"/>
      <protection locked="0"/>
    </xf>
    <xf numFmtId="168" fontId="3" fillId="0" borderId="0" xfId="1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Border="1" applyAlignment="1" applyProtection="1">
      <alignment horizontal="center"/>
      <protection locked="0"/>
    </xf>
    <xf numFmtId="168" fontId="16" fillId="0" borderId="0" xfId="0" applyNumberFormat="1" applyFont="1"/>
    <xf numFmtId="168" fontId="1" fillId="0" borderId="0" xfId="0" applyNumberFormat="1" applyFont="1" applyAlignment="1" applyProtection="1">
      <alignment horizontal="center"/>
      <protection locked="0"/>
    </xf>
    <xf numFmtId="168" fontId="8" fillId="0" borderId="0" xfId="0" applyNumberFormat="1" applyFont="1" applyProtection="1">
      <protection locked="0"/>
    </xf>
    <xf numFmtId="168" fontId="19" fillId="0" borderId="0" xfId="0" applyNumberFormat="1" applyFont="1"/>
    <xf numFmtId="168" fontId="1" fillId="0" borderId="0" xfId="0" applyNumberFormat="1" applyFont="1" applyProtection="1">
      <protection locked="0"/>
    </xf>
    <xf numFmtId="168" fontId="3" fillId="0" borderId="0" xfId="0" applyNumberFormat="1" applyFont="1"/>
    <xf numFmtId="168" fontId="1" fillId="0" borderId="0" xfId="0" applyNumberFormat="1" applyFont="1" applyBorder="1" applyAlignment="1" applyProtection="1">
      <alignment vertical="top"/>
      <protection locked="0"/>
    </xf>
    <xf numFmtId="168" fontId="3" fillId="0" borderId="0" xfId="0" applyNumberFormat="1" applyFont="1" applyBorder="1" applyAlignment="1" applyProtection="1">
      <alignment horizontal="center"/>
      <protection locked="0"/>
    </xf>
    <xf numFmtId="169" fontId="1" fillId="0" borderId="0" xfId="1" applyNumberFormat="1" applyFont="1" applyBorder="1" applyAlignment="1" applyProtection="1">
      <alignment horizontal="center"/>
      <protection locked="0"/>
    </xf>
    <xf numFmtId="169" fontId="16" fillId="0" borderId="0" xfId="0" applyNumberFormat="1" applyFont="1"/>
    <xf numFmtId="169" fontId="1" fillId="0" borderId="0" xfId="0" applyNumberFormat="1" applyFont="1" applyAlignment="1" applyProtection="1">
      <alignment horizontal="center"/>
      <protection locked="0"/>
    </xf>
    <xf numFmtId="169" fontId="8" fillId="0" borderId="0" xfId="0" applyNumberFormat="1" applyFont="1" applyProtection="1">
      <protection locked="0"/>
    </xf>
    <xf numFmtId="169" fontId="19" fillId="0" borderId="0" xfId="0" applyNumberFormat="1" applyFont="1"/>
    <xf numFmtId="169" fontId="1" fillId="0" borderId="0" xfId="0" applyNumberFormat="1" applyFont="1" applyProtection="1">
      <protection locked="0"/>
    </xf>
    <xf numFmtId="169" fontId="3" fillId="0" borderId="0" xfId="0" applyNumberFormat="1" applyFont="1"/>
    <xf numFmtId="169" fontId="1" fillId="0" borderId="0" xfId="0" applyNumberFormat="1" applyFont="1" applyBorder="1" applyAlignment="1" applyProtection="1">
      <alignment vertical="top"/>
      <protection locked="0"/>
    </xf>
    <xf numFmtId="169" fontId="3" fillId="0" borderId="0" xfId="0" applyNumberFormat="1" applyFont="1" applyBorder="1" applyAlignment="1" applyProtection="1">
      <alignment horizontal="center"/>
      <protection locked="0"/>
    </xf>
    <xf numFmtId="169" fontId="3" fillId="0" borderId="0" xfId="1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0" fontId="1" fillId="0" borderId="0" xfId="0" applyNumberFormat="1" applyFont="1" applyProtection="1">
      <protection locked="0"/>
    </xf>
    <xf numFmtId="10" fontId="1" fillId="0" borderId="0" xfId="1" applyNumberFormat="1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left"/>
      <protection locked="0"/>
    </xf>
    <xf numFmtId="169" fontId="1" fillId="0" borderId="0" xfId="0" applyNumberFormat="1" applyFont="1" applyAlignment="1" applyProtection="1">
      <alignment horizontal="left"/>
      <protection locked="0"/>
    </xf>
    <xf numFmtId="166" fontId="2" fillId="2" borderId="2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1" fontId="14" fillId="0" borderId="0" xfId="0" applyNumberFormat="1" applyFont="1" applyBorder="1" applyAlignment="1" applyProtection="1">
      <alignment horizontal="center"/>
      <protection locked="0"/>
    </xf>
    <xf numFmtId="166" fontId="25" fillId="0" borderId="0" xfId="0" applyNumberFormat="1" applyFont="1" applyBorder="1" applyAlignment="1" applyProtection="1">
      <alignment horizontal="left"/>
      <protection locked="0"/>
    </xf>
    <xf numFmtId="166" fontId="25" fillId="0" borderId="0" xfId="0" applyNumberFormat="1" applyFont="1" applyBorder="1" applyAlignment="1" applyProtection="1">
      <alignment horizontal="center"/>
      <protection locked="0"/>
    </xf>
    <xf numFmtId="166" fontId="25" fillId="0" borderId="0" xfId="0" applyNumberFormat="1" applyFont="1" applyBorder="1" applyProtection="1">
      <protection locked="0"/>
    </xf>
    <xf numFmtId="166" fontId="25" fillId="0" borderId="10" xfId="0" applyNumberFormat="1" applyFont="1" applyBorder="1" applyProtection="1">
      <protection locked="0"/>
    </xf>
    <xf numFmtId="166" fontId="9" fillId="2" borderId="5" xfId="0" applyNumberFormat="1" applyFont="1" applyFill="1" applyBorder="1" applyAlignment="1" applyProtection="1">
      <alignment horizontal="left"/>
      <protection locked="0"/>
    </xf>
    <xf numFmtId="0" fontId="25" fillId="0" borderId="2" xfId="0" applyFont="1" applyBorder="1" applyAlignment="1" applyProtection="1">
      <alignment horizontal="left" vertical="top"/>
      <protection locked="0"/>
    </xf>
    <xf numFmtId="0" fontId="25" fillId="0" borderId="0" xfId="0" applyFont="1" applyBorder="1" applyAlignment="1" applyProtection="1">
      <alignment horizontal="left" vertical="top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0" xfId="0" applyFont="1" applyBorder="1" applyProtection="1">
      <protection locked="0"/>
    </xf>
    <xf numFmtId="14" fontId="9" fillId="0" borderId="2" xfId="0" applyNumberFormat="1" applyFont="1" applyBorder="1" applyProtection="1">
      <protection locked="0"/>
    </xf>
    <xf numFmtId="165" fontId="9" fillId="0" borderId="0" xfId="0" applyNumberFormat="1" applyFont="1" applyBorder="1" applyProtection="1">
      <protection locked="0"/>
    </xf>
    <xf numFmtId="2" fontId="9" fillId="0" borderId="0" xfId="1" applyNumberFormat="1" applyFont="1" applyBorder="1" applyAlignment="1" applyProtection="1">
      <alignment horizontal="left"/>
      <protection locked="0"/>
    </xf>
    <xf numFmtId="167" fontId="9" fillId="0" borderId="0" xfId="0" applyNumberFormat="1" applyFont="1" applyBorder="1" applyAlignment="1" applyProtection="1">
      <alignment horizontal="left"/>
      <protection locked="0"/>
    </xf>
    <xf numFmtId="167" fontId="9" fillId="0" borderId="10" xfId="0" applyNumberFormat="1" applyFont="1" applyBorder="1" applyAlignment="1" applyProtection="1">
      <alignment horizontal="left"/>
      <protection locked="0"/>
    </xf>
    <xf numFmtId="0" fontId="9" fillId="2" borderId="3" xfId="0" applyFont="1" applyFill="1" applyBorder="1" applyAlignment="1" applyProtection="1">
      <alignment horizontal="left"/>
      <protection locked="0"/>
    </xf>
    <xf numFmtId="166" fontId="5" fillId="0" borderId="0" xfId="0" applyNumberFormat="1" applyFont="1" applyProtection="1"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14" fontId="11" fillId="0" borderId="0" xfId="0" applyNumberFormat="1" applyFont="1" applyAlignment="1" applyProtection="1">
      <alignment horizontal="center"/>
      <protection locked="0"/>
    </xf>
    <xf numFmtId="0" fontId="25" fillId="0" borderId="0" xfId="0" applyFont="1" applyBorder="1" applyAlignment="1" applyProtection="1">
      <alignment horizontal="center" vertical="top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14" fontId="1" fillId="0" borderId="8" xfId="0" applyNumberFormat="1" applyFont="1" applyBorder="1" applyAlignment="1" applyProtection="1">
      <alignment horizontal="center"/>
      <protection locked="0"/>
    </xf>
    <xf numFmtId="14" fontId="1" fillId="0" borderId="17" xfId="0" applyNumberFormat="1" applyFont="1" applyFill="1" applyBorder="1" applyAlignment="1" applyProtection="1">
      <alignment horizontal="center"/>
      <protection locked="0"/>
    </xf>
    <xf numFmtId="14" fontId="1" fillId="0" borderId="0" xfId="0" applyNumberFormat="1" applyFont="1" applyBorder="1" applyAlignment="1" applyProtection="1">
      <alignment horizontal="center"/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165" fontId="11" fillId="0" borderId="0" xfId="0" applyNumberFormat="1" applyFont="1" applyAlignment="1" applyProtection="1">
      <alignment horizontal="center"/>
      <protection locked="0"/>
    </xf>
    <xf numFmtId="14" fontId="9" fillId="0" borderId="2" xfId="0" applyNumberFormat="1" applyFont="1" applyBorder="1" applyAlignment="1" applyProtection="1">
      <protection locked="0"/>
    </xf>
    <xf numFmtId="14" fontId="9" fillId="0" borderId="0" xfId="0" applyNumberFormat="1" applyFont="1" applyBorder="1" applyAlignment="1" applyProtection="1">
      <protection locked="0"/>
    </xf>
    <xf numFmtId="165" fontId="9" fillId="0" borderId="0" xfId="0" applyNumberFormat="1" applyFont="1" applyBorder="1" applyAlignment="1" applyProtection="1"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14" fontId="27" fillId="0" borderId="0" xfId="0" applyNumberFormat="1" applyFont="1" applyBorder="1" applyAlignment="1" applyProtection="1">
      <alignment horizontal="left" vertical="center"/>
      <protection locked="0"/>
    </xf>
    <xf numFmtId="14" fontId="1" fillId="0" borderId="11" xfId="0" applyNumberFormat="1" applyFont="1" applyBorder="1" applyAlignment="1" applyProtection="1">
      <alignment horizontal="right"/>
      <protection locked="0"/>
    </xf>
    <xf numFmtId="14" fontId="1" fillId="0" borderId="15" xfId="0" applyNumberFormat="1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14" fontId="2" fillId="0" borderId="2" xfId="0" applyNumberFormat="1" applyFont="1" applyBorder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/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165" fontId="1" fillId="0" borderId="0" xfId="0" applyNumberFormat="1" applyFont="1" applyBorder="1" applyAlignment="1" applyProtection="1">
      <alignment horizontal="center" vertical="top"/>
      <protection locked="0"/>
    </xf>
    <xf numFmtId="0" fontId="14" fillId="0" borderId="2" xfId="0" applyFont="1" applyBorder="1" applyAlignment="1" applyProtection="1">
      <alignment horizontal="left" vertical="center"/>
      <protection locked="0"/>
    </xf>
    <xf numFmtId="14" fontId="1" fillId="0" borderId="0" xfId="0" applyNumberFormat="1" applyFont="1" applyFill="1" applyBorder="1" applyAlignment="1" applyProtection="1">
      <alignment horizontal="center"/>
      <protection locked="0"/>
    </xf>
    <xf numFmtId="168" fontId="28" fillId="0" borderId="6" xfId="1" applyNumberFormat="1" applyFont="1" applyBorder="1" applyAlignment="1" applyProtection="1">
      <alignment horizontal="center"/>
      <protection locked="0"/>
    </xf>
    <xf numFmtId="168" fontId="28" fillId="0" borderId="18" xfId="1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14" fontId="27" fillId="0" borderId="0" xfId="0" applyNumberFormat="1" applyFont="1" applyBorder="1" applyAlignment="1" applyProtection="1">
      <alignment horizontal="center" vertical="center"/>
      <protection locked="0"/>
    </xf>
    <xf numFmtId="165" fontId="1" fillId="0" borderId="6" xfId="0" applyNumberFormat="1" applyFont="1" applyFill="1" applyBorder="1" applyAlignment="1" applyProtection="1">
      <alignment horizontal="center"/>
      <protection locked="0"/>
    </xf>
    <xf numFmtId="1" fontId="11" fillId="0" borderId="0" xfId="0" applyNumberFormat="1" applyFont="1" applyBorder="1" applyProtection="1">
      <protection locked="0"/>
    </xf>
    <xf numFmtId="1" fontId="25" fillId="0" borderId="0" xfId="0" applyNumberFormat="1" applyFont="1" applyBorder="1" applyAlignment="1" applyProtection="1">
      <alignment horizontal="left" vertical="top"/>
      <protection locked="0"/>
    </xf>
    <xf numFmtId="1" fontId="9" fillId="0" borderId="0" xfId="0" applyNumberFormat="1" applyFont="1" applyBorder="1" applyAlignment="1" applyProtection="1">
      <alignment horizontal="left"/>
      <protection locked="0"/>
    </xf>
    <xf numFmtId="1" fontId="1" fillId="0" borderId="4" xfId="1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1" fontId="1" fillId="0" borderId="0" xfId="1" applyNumberFormat="1" applyFont="1" applyBorder="1" applyProtection="1">
      <protection locked="0"/>
    </xf>
    <xf numFmtId="1" fontId="1" fillId="0" borderId="17" xfId="0" applyNumberFormat="1" applyFont="1" applyFill="1" applyBorder="1" applyProtection="1">
      <protection locked="0"/>
    </xf>
    <xf numFmtId="1" fontId="1" fillId="0" borderId="0" xfId="0" applyNumberFormat="1" applyFont="1" applyBorder="1" applyProtection="1"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Border="1" applyAlignment="1" applyProtection="1">
      <alignment vertical="top"/>
      <protection locked="0"/>
    </xf>
    <xf numFmtId="168" fontId="28" fillId="0" borderId="8" xfId="1" applyNumberFormat="1" applyFont="1" applyBorder="1" applyAlignment="1" applyProtection="1">
      <alignment horizontal="center"/>
      <protection locked="0"/>
    </xf>
    <xf numFmtId="0" fontId="9" fillId="2" borderId="25" xfId="0" applyFont="1" applyFill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right"/>
      <protection locked="0"/>
    </xf>
    <xf numFmtId="0" fontId="17" fillId="0" borderId="0" xfId="0" applyFont="1" applyAlignment="1">
      <alignment horizontal="center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14" fontId="2" fillId="0" borderId="0" xfId="0" applyNumberFormat="1" applyFont="1" applyBorder="1" applyAlignment="1" applyProtection="1">
      <alignment horizontal="left" vertical="top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right"/>
      <protection locked="0"/>
    </xf>
    <xf numFmtId="0" fontId="19" fillId="0" borderId="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/>
    </xf>
    <xf numFmtId="0" fontId="19" fillId="0" borderId="2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22" xfId="0" applyFont="1" applyBorder="1" applyAlignment="1">
      <alignment horizontal="center"/>
    </xf>
    <xf numFmtId="167" fontId="11" fillId="0" borderId="0" xfId="0" applyNumberFormat="1" applyFont="1" applyProtection="1">
      <protection locked="0"/>
    </xf>
    <xf numFmtId="1" fontId="1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7" fillId="0" borderId="10" xfId="0" applyFont="1" applyBorder="1" applyProtection="1">
      <protection locked="0"/>
    </xf>
    <xf numFmtId="0" fontId="7" fillId="0" borderId="2" xfId="0" applyFont="1" applyBorder="1" applyProtection="1">
      <protection locked="0"/>
    </xf>
    <xf numFmtId="166" fontId="25" fillId="0" borderId="0" xfId="0" applyNumberFormat="1" applyFont="1" applyAlignment="1" applyProtection="1">
      <alignment horizontal="left"/>
      <protection locked="0"/>
    </xf>
    <xf numFmtId="166" fontId="25" fillId="0" borderId="0" xfId="0" applyNumberFormat="1" applyFont="1" applyAlignment="1" applyProtection="1">
      <alignment horizontal="center"/>
      <protection locked="0"/>
    </xf>
    <xf numFmtId="166" fontId="25" fillId="0" borderId="0" xfId="0" applyNumberFormat="1" applyFont="1" applyProtection="1"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left" vertical="top"/>
      <protection locked="0"/>
    </xf>
    <xf numFmtId="14" fontId="27" fillId="0" borderId="0" xfId="0" applyNumberFormat="1" applyFont="1" applyAlignment="1" applyProtection="1">
      <alignment horizontal="left" vertical="center"/>
      <protection locked="0"/>
    </xf>
    <xf numFmtId="1" fontId="25" fillId="0" borderId="0" xfId="0" applyNumberFormat="1" applyFont="1" applyAlignment="1" applyProtection="1">
      <alignment horizontal="left" vertical="top"/>
      <protection locked="0"/>
    </xf>
    <xf numFmtId="166" fontId="14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14" fontId="9" fillId="0" borderId="0" xfId="0" applyNumberFormat="1" applyFont="1" applyProtection="1">
      <protection locked="0"/>
    </xf>
    <xf numFmtId="165" fontId="9" fillId="0" borderId="0" xfId="0" applyNumberFormat="1" applyFont="1" applyProtection="1">
      <protection locked="0"/>
    </xf>
    <xf numFmtId="167" fontId="9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1" fontId="14" fillId="0" borderId="0" xfId="0" applyNumberFormat="1" applyFont="1" applyAlignment="1" applyProtection="1">
      <alignment horizontal="center"/>
      <protection locked="0"/>
    </xf>
    <xf numFmtId="0" fontId="1" fillId="0" borderId="0" xfId="0" applyFont="1"/>
    <xf numFmtId="0" fontId="1" fillId="0" borderId="17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8" fillId="0" borderId="17" xfId="0" applyFont="1" applyBorder="1" applyProtection="1">
      <protection locked="0"/>
    </xf>
    <xf numFmtId="0" fontId="1" fillId="0" borderId="17" xfId="0" applyFont="1" applyBorder="1" applyProtection="1">
      <protection locked="0"/>
    </xf>
    <xf numFmtId="14" fontId="1" fillId="0" borderId="17" xfId="0" applyNumberFormat="1" applyFont="1" applyBorder="1" applyProtection="1">
      <protection locked="0"/>
    </xf>
    <xf numFmtId="14" fontId="1" fillId="0" borderId="17" xfId="0" applyNumberFormat="1" applyFont="1" applyBorder="1" applyAlignment="1" applyProtection="1">
      <alignment horizontal="center"/>
      <protection locked="0"/>
    </xf>
    <xf numFmtId="165" fontId="1" fillId="0" borderId="17" xfId="0" applyNumberFormat="1" applyFont="1" applyBorder="1" applyAlignment="1" applyProtection="1">
      <alignment horizontal="center"/>
      <protection locked="0"/>
    </xf>
    <xf numFmtId="165" fontId="1" fillId="0" borderId="17" xfId="0" applyNumberFormat="1" applyFont="1" applyBorder="1" applyProtection="1">
      <protection locked="0"/>
    </xf>
    <xf numFmtId="164" fontId="1" fillId="0" borderId="17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14" fontId="2" fillId="0" borderId="0" xfId="0" applyNumberFormat="1" applyFont="1" applyAlignment="1" applyProtection="1">
      <alignment horizontal="left" vertical="top"/>
      <protection locked="0"/>
    </xf>
    <xf numFmtId="0" fontId="3" fillId="0" borderId="10" xfId="0" applyFont="1" applyBorder="1"/>
    <xf numFmtId="169" fontId="1" fillId="0" borderId="0" xfId="0" applyNumberFormat="1" applyFont="1" applyAlignment="1" applyProtection="1">
      <alignment vertical="top"/>
      <protection locked="0"/>
    </xf>
    <xf numFmtId="1" fontId="1" fillId="0" borderId="0" xfId="0" applyNumberFormat="1" applyFont="1" applyAlignment="1" applyProtection="1">
      <alignment vertical="top"/>
      <protection locked="0"/>
    </xf>
    <xf numFmtId="169" fontId="3" fillId="0" borderId="0" xfId="0" applyNumberFormat="1" applyFont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vertical="top"/>
      <protection locked="0"/>
    </xf>
    <xf numFmtId="168" fontId="1" fillId="0" borderId="0" xfId="0" applyNumberFormat="1" applyFont="1" applyAlignment="1" applyProtection="1">
      <alignment vertical="top"/>
      <protection locked="0"/>
    </xf>
    <xf numFmtId="168" fontId="3" fillId="0" borderId="0" xfId="0" applyNumberFormat="1" applyFont="1" applyAlignment="1" applyProtection="1">
      <alignment horizontal="center"/>
      <protection locked="0"/>
    </xf>
    <xf numFmtId="167" fontId="1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0" applyNumberFormat="1" applyFont="1" applyAlignment="1" applyProtection="1">
      <alignment horizontal="left"/>
      <protection locked="0"/>
    </xf>
    <xf numFmtId="166" fontId="4" fillId="0" borderId="0" xfId="0" applyNumberFormat="1" applyFont="1" applyAlignment="1" applyProtection="1">
      <alignment horizontal="center"/>
      <protection locked="0"/>
    </xf>
    <xf numFmtId="166" fontId="6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165" fontId="2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 vertical="top"/>
      <protection locked="0"/>
    </xf>
    <xf numFmtId="0" fontId="22" fillId="0" borderId="0" xfId="0" applyFont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165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vertical="top"/>
      <protection locked="0"/>
    </xf>
    <xf numFmtId="0" fontId="23" fillId="0" borderId="0" xfId="0" applyFont="1" applyProtection="1">
      <protection locked="0"/>
    </xf>
    <xf numFmtId="14" fontId="27" fillId="0" borderId="0" xfId="0" applyNumberFormat="1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4B4B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4B4B"/>
        </patternFill>
      </fill>
    </dxf>
  </dxfs>
  <tableStyles count="0" defaultTableStyle="TableStyleMedium2" defaultPivotStyle="PivotStyleLight16"/>
  <colors>
    <mruColors>
      <color rgb="FFFF4B4B"/>
      <color rgb="FFFFFF66"/>
      <color rgb="FF0000FF"/>
      <color rgb="FF008000"/>
      <color rgb="FF0099FF"/>
      <color rgb="FF0066FF"/>
      <color rgb="FFFF33CC"/>
      <color rgb="FF00CC00"/>
      <color rgb="FF99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67"/>
  <sheetViews>
    <sheetView showGridLines="0"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G24" sqref="G24"/>
    </sheetView>
  </sheetViews>
  <sheetFormatPr defaultRowHeight="12.75" outlineLevelCol="1"/>
  <cols>
    <col min="1" max="1" width="9.85546875" style="54" bestFit="1" customWidth="1"/>
    <col min="2" max="2" width="9.140625" style="44"/>
    <col min="3" max="3" width="17.28515625" style="55" hidden="1" customWidth="1" outlineLevel="1"/>
    <col min="4" max="4" width="19" style="54" hidden="1" customWidth="1" outlineLevel="1"/>
    <col min="5" max="5" width="24.5703125" style="53" customWidth="1" collapsed="1"/>
    <col min="6" max="6" width="10.7109375" style="56" customWidth="1"/>
    <col min="7" max="7" width="10.7109375" style="214" customWidth="1"/>
    <col min="8" max="8" width="8.5703125" style="79" hidden="1" customWidth="1" outlineLevel="1"/>
    <col min="9" max="9" width="13.85546875" style="56" customWidth="1" collapsed="1"/>
    <col min="10" max="10" width="9.140625" style="57" hidden="1" customWidth="1" outlineLevel="1"/>
    <col min="11" max="11" width="9" style="58" hidden="1" customWidth="1" outlineLevel="1"/>
    <col min="12" max="12" width="9.5703125" style="58" hidden="1" customWidth="1" outlineLevel="1"/>
    <col min="13" max="13" width="15" style="57" hidden="1" customWidth="1" outlineLevel="1"/>
    <col min="14" max="15" width="12.85546875" style="57" hidden="1" customWidth="1" outlineLevel="1"/>
    <col min="16" max="16" width="12.85546875" style="43" hidden="1" customWidth="1" outlineLevel="1"/>
    <col min="17" max="17" width="18" style="69" hidden="1" customWidth="1" outlineLevel="1"/>
    <col min="18" max="18" width="9.85546875" style="67" hidden="1" customWidth="1" outlineLevel="1"/>
    <col min="19" max="19" width="9.85546875" style="242" hidden="1" customWidth="1" outlineLevel="1"/>
    <col min="20" max="20" width="10.42578125" style="242" hidden="1" customWidth="1" outlineLevel="1"/>
    <col min="21" max="21" width="12.85546875" style="67" hidden="1" customWidth="1" outlineLevel="1"/>
    <col min="22" max="22" width="10.42578125" style="44" customWidth="1" collapsed="1"/>
    <col min="23" max="24" width="10" style="44" customWidth="1"/>
    <col min="25" max="68" width="10" style="44" customWidth="1" outlineLevel="1"/>
    <col min="69" max="69" width="10.7109375" style="45" customWidth="1"/>
    <col min="70" max="71" width="8.5703125" style="44" customWidth="1"/>
    <col min="72" max="109" width="8.5703125" style="44" customWidth="1" outlineLevel="1"/>
    <col min="110" max="16384" width="9.140625" style="53"/>
  </cols>
  <sheetData>
    <row r="1" spans="1:115" s="7" customFormat="1" ht="28.5">
      <c r="A1" s="6" t="s">
        <v>83</v>
      </c>
      <c r="C1" s="8"/>
      <c r="D1" s="179"/>
      <c r="F1" s="10"/>
      <c r="G1" s="208"/>
      <c r="H1" s="215"/>
      <c r="I1" s="10"/>
      <c r="J1" s="11"/>
      <c r="K1" s="12"/>
      <c r="L1" s="12"/>
      <c r="M1" s="11"/>
      <c r="N1" s="11"/>
      <c r="O1" s="11"/>
      <c r="P1" s="65"/>
      <c r="Q1" s="68"/>
      <c r="R1" s="66"/>
      <c r="S1" s="235"/>
      <c r="T1" s="235"/>
      <c r="U1" s="66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13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</row>
    <row r="2" spans="1:115" s="50" customFormat="1" ht="15.75" customHeight="1">
      <c r="A2" s="95" t="s">
        <v>3</v>
      </c>
      <c r="B2" s="14"/>
      <c r="C2" s="15"/>
      <c r="D2" s="180"/>
      <c r="E2" s="16"/>
      <c r="F2" s="250" t="s">
        <v>12</v>
      </c>
      <c r="G2" s="251"/>
      <c r="H2" s="251"/>
      <c r="I2" s="250" t="s">
        <v>0</v>
      </c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3"/>
      <c r="V2" s="17"/>
      <c r="W2" s="95" t="s">
        <v>66</v>
      </c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6"/>
      <c r="BQ2" s="48"/>
      <c r="BR2" s="95" t="s">
        <v>55</v>
      </c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</row>
    <row r="3" spans="1:115" s="203" customFormat="1" ht="15.75">
      <c r="A3" s="186"/>
      <c r="B3" s="187"/>
      <c r="C3" s="188"/>
      <c r="D3" s="186"/>
      <c r="E3" s="189"/>
      <c r="F3" s="191"/>
      <c r="G3" s="209"/>
      <c r="H3" s="209"/>
      <c r="I3" s="191"/>
      <c r="J3" s="219"/>
      <c r="K3" s="192"/>
      <c r="L3" s="220"/>
      <c r="M3" s="192"/>
      <c r="N3" s="192"/>
      <c r="O3" s="192"/>
      <c r="P3" s="192"/>
      <c r="Q3" s="192"/>
      <c r="R3" s="192"/>
      <c r="S3" s="236"/>
      <c r="T3" s="236"/>
      <c r="U3" s="193"/>
      <c r="V3" s="190" t="s">
        <v>13</v>
      </c>
      <c r="W3" s="97">
        <v>42859</v>
      </c>
      <c r="X3" s="97">
        <v>42860</v>
      </c>
      <c r="Y3" s="97">
        <v>42861</v>
      </c>
      <c r="Z3" s="97">
        <v>42862</v>
      </c>
      <c r="AA3" s="97">
        <v>42863</v>
      </c>
      <c r="AB3" s="97">
        <v>42865</v>
      </c>
      <c r="AC3" s="97">
        <v>42868</v>
      </c>
      <c r="AD3" s="97">
        <v>42870</v>
      </c>
      <c r="AE3" s="97">
        <v>42872</v>
      </c>
      <c r="AF3" s="97">
        <v>42877</v>
      </c>
      <c r="AG3" s="97">
        <v>42879</v>
      </c>
      <c r="AH3" s="97">
        <v>42881</v>
      </c>
      <c r="AI3" s="97">
        <v>42884</v>
      </c>
      <c r="AJ3" s="97">
        <v>42886</v>
      </c>
      <c r="AK3" s="97">
        <v>42888</v>
      </c>
      <c r="AL3" s="97">
        <v>42891</v>
      </c>
      <c r="AM3" s="97">
        <v>42893</v>
      </c>
      <c r="AN3" s="97">
        <v>42895</v>
      </c>
      <c r="AO3" s="97">
        <v>42898</v>
      </c>
      <c r="AP3" s="97">
        <v>42901</v>
      </c>
      <c r="AQ3" s="97">
        <v>42903</v>
      </c>
      <c r="AR3" s="97">
        <v>42906</v>
      </c>
      <c r="AS3" s="97">
        <v>42909</v>
      </c>
      <c r="AT3" s="97">
        <v>42912</v>
      </c>
      <c r="AU3" s="97">
        <v>42914</v>
      </c>
      <c r="AV3" s="97">
        <v>42916</v>
      </c>
      <c r="AW3" s="97">
        <v>42919</v>
      </c>
      <c r="AX3" s="97">
        <v>42921</v>
      </c>
      <c r="AY3" s="97">
        <v>42923</v>
      </c>
      <c r="AZ3" s="97">
        <v>42925</v>
      </c>
      <c r="BA3" s="97">
        <v>42927</v>
      </c>
      <c r="BB3" s="97">
        <v>42930</v>
      </c>
      <c r="BC3" s="97">
        <v>42932</v>
      </c>
      <c r="BD3" s="97">
        <v>42934</v>
      </c>
      <c r="BE3" s="97">
        <v>42937</v>
      </c>
      <c r="BF3" s="97">
        <v>42941</v>
      </c>
      <c r="BG3" s="97">
        <v>42944</v>
      </c>
      <c r="BH3" s="97">
        <v>42947</v>
      </c>
      <c r="BI3" s="97">
        <v>42953</v>
      </c>
      <c r="BJ3" s="97">
        <v>42955</v>
      </c>
      <c r="BK3" s="97">
        <v>42959</v>
      </c>
      <c r="BL3" s="97">
        <v>42962</v>
      </c>
      <c r="BM3" s="97">
        <v>42965</v>
      </c>
      <c r="BN3" s="97">
        <v>42968</v>
      </c>
      <c r="BO3" s="97"/>
      <c r="BP3" s="97"/>
      <c r="BQ3" s="190" t="s">
        <v>58</v>
      </c>
      <c r="BR3" s="97">
        <f t="shared" ref="BR3:CA4" si="0">IF(ISBLANK(W3)=TRUE,"",W3)</f>
        <v>42859</v>
      </c>
      <c r="BS3" s="97">
        <f t="shared" si="0"/>
        <v>42860</v>
      </c>
      <c r="BT3" s="97">
        <f t="shared" si="0"/>
        <v>42861</v>
      </c>
      <c r="BU3" s="97">
        <f t="shared" si="0"/>
        <v>42862</v>
      </c>
      <c r="BV3" s="97">
        <f t="shared" si="0"/>
        <v>42863</v>
      </c>
      <c r="BW3" s="97">
        <f t="shared" si="0"/>
        <v>42865</v>
      </c>
      <c r="BX3" s="97">
        <f t="shared" si="0"/>
        <v>42868</v>
      </c>
      <c r="BY3" s="97">
        <f t="shared" si="0"/>
        <v>42870</v>
      </c>
      <c r="BZ3" s="97">
        <f t="shared" si="0"/>
        <v>42872</v>
      </c>
      <c r="CA3" s="97">
        <f t="shared" si="0"/>
        <v>42877</v>
      </c>
      <c r="CB3" s="97">
        <f t="shared" ref="CB3:CK4" si="1">IF(ISBLANK(AG3)=TRUE,"",AG3)</f>
        <v>42879</v>
      </c>
      <c r="CC3" s="97">
        <f t="shared" si="1"/>
        <v>42881</v>
      </c>
      <c r="CD3" s="97">
        <f t="shared" si="1"/>
        <v>42884</v>
      </c>
      <c r="CE3" s="97">
        <f t="shared" si="1"/>
        <v>42886</v>
      </c>
      <c r="CF3" s="97">
        <f t="shared" si="1"/>
        <v>42888</v>
      </c>
      <c r="CG3" s="97">
        <f t="shared" si="1"/>
        <v>42891</v>
      </c>
      <c r="CH3" s="97">
        <f t="shared" si="1"/>
        <v>42893</v>
      </c>
      <c r="CI3" s="97">
        <f t="shared" si="1"/>
        <v>42895</v>
      </c>
      <c r="CJ3" s="97">
        <f t="shared" si="1"/>
        <v>42898</v>
      </c>
      <c r="CK3" s="97">
        <f t="shared" si="1"/>
        <v>42901</v>
      </c>
      <c r="CL3" s="97">
        <f t="shared" ref="CL3:CU4" si="2">IF(ISBLANK(AQ3)=TRUE,"",AQ3)</f>
        <v>42903</v>
      </c>
      <c r="CM3" s="97">
        <f t="shared" si="2"/>
        <v>42906</v>
      </c>
      <c r="CN3" s="97">
        <f t="shared" si="2"/>
        <v>42909</v>
      </c>
      <c r="CO3" s="97">
        <f t="shared" si="2"/>
        <v>42912</v>
      </c>
      <c r="CP3" s="97">
        <f t="shared" si="2"/>
        <v>42914</v>
      </c>
      <c r="CQ3" s="97">
        <f t="shared" si="2"/>
        <v>42916</v>
      </c>
      <c r="CR3" s="97">
        <f t="shared" si="2"/>
        <v>42919</v>
      </c>
      <c r="CS3" s="97">
        <f t="shared" si="2"/>
        <v>42921</v>
      </c>
      <c r="CT3" s="97">
        <f t="shared" si="2"/>
        <v>42923</v>
      </c>
      <c r="CU3" s="97">
        <f t="shared" si="2"/>
        <v>42925</v>
      </c>
      <c r="CV3" s="97">
        <f t="shared" ref="CV3:DD4" si="3">IF(ISBLANK(BA3)=TRUE,"",BA3)</f>
        <v>42927</v>
      </c>
      <c r="CW3" s="97">
        <f t="shared" si="3"/>
        <v>42930</v>
      </c>
      <c r="CX3" s="97">
        <f t="shared" si="3"/>
        <v>42932</v>
      </c>
      <c r="CY3" s="97">
        <f t="shared" si="3"/>
        <v>42934</v>
      </c>
      <c r="CZ3" s="97">
        <f t="shared" si="3"/>
        <v>42937</v>
      </c>
      <c r="DA3" s="97">
        <f t="shared" si="3"/>
        <v>42941</v>
      </c>
      <c r="DB3" s="97">
        <f t="shared" si="3"/>
        <v>42944</v>
      </c>
      <c r="DC3" s="97">
        <f t="shared" si="3"/>
        <v>42947</v>
      </c>
      <c r="DD3" s="97">
        <f t="shared" si="3"/>
        <v>42953</v>
      </c>
      <c r="DE3" s="97">
        <f t="shared" ref="DE3:DK4" si="4">IF(ISBLANK(BJ3)=TRUE,"",BJ3)</f>
        <v>42955</v>
      </c>
      <c r="DF3" s="97">
        <f t="shared" si="4"/>
        <v>42959</v>
      </c>
      <c r="DG3" s="97">
        <f t="shared" si="4"/>
        <v>42962</v>
      </c>
      <c r="DH3" s="97">
        <f t="shared" si="4"/>
        <v>42965</v>
      </c>
      <c r="DI3" s="97">
        <f t="shared" si="4"/>
        <v>42968</v>
      </c>
      <c r="DJ3" s="97" t="str">
        <f t="shared" si="4"/>
        <v/>
      </c>
      <c r="DK3" s="97" t="str">
        <f t="shared" si="4"/>
        <v/>
      </c>
    </row>
    <row r="4" spans="1:115" s="205" customFormat="1" ht="15.75">
      <c r="A4" s="194" t="s">
        <v>5</v>
      </c>
      <c r="B4" s="195" t="s">
        <v>6</v>
      </c>
      <c r="C4" s="20" t="s">
        <v>7</v>
      </c>
      <c r="D4" s="194" t="s">
        <v>14</v>
      </c>
      <c r="E4" s="196" t="s">
        <v>10</v>
      </c>
      <c r="F4" s="216" t="s">
        <v>1</v>
      </c>
      <c r="G4" s="217" t="s">
        <v>69</v>
      </c>
      <c r="H4" s="218" t="s">
        <v>2</v>
      </c>
      <c r="I4" s="197" t="s">
        <v>1</v>
      </c>
      <c r="J4" s="198" t="s">
        <v>2</v>
      </c>
      <c r="K4" s="198" t="s">
        <v>21</v>
      </c>
      <c r="L4" s="198" t="s">
        <v>22</v>
      </c>
      <c r="M4" s="198" t="s">
        <v>3</v>
      </c>
      <c r="N4" s="198" t="s">
        <v>4</v>
      </c>
      <c r="O4" s="198" t="s">
        <v>23</v>
      </c>
      <c r="P4" s="198" t="s">
        <v>59</v>
      </c>
      <c r="Q4" s="199" t="s">
        <v>24</v>
      </c>
      <c r="R4" s="200" t="s">
        <v>25</v>
      </c>
      <c r="S4" s="237" t="s">
        <v>70</v>
      </c>
      <c r="T4" s="237" t="s">
        <v>71</v>
      </c>
      <c r="U4" s="201" t="s">
        <v>19</v>
      </c>
      <c r="V4" s="202" t="s">
        <v>8</v>
      </c>
      <c r="W4" s="185">
        <f>IF(ISBLANK(W3)=TRUE,"",W3-$I$5)</f>
        <v>-2</v>
      </c>
      <c r="X4" s="185">
        <f t="shared" ref="X4:AI4" si="5">IF(ISBLANK(X3)=TRUE,"",X3-$I$5)</f>
        <v>-1</v>
      </c>
      <c r="Y4" s="185">
        <f t="shared" si="5"/>
        <v>0</v>
      </c>
      <c r="Z4" s="185">
        <f t="shared" si="5"/>
        <v>1</v>
      </c>
      <c r="AA4" s="185">
        <f t="shared" si="5"/>
        <v>2</v>
      </c>
      <c r="AB4" s="185">
        <f t="shared" si="5"/>
        <v>4</v>
      </c>
      <c r="AC4" s="185">
        <f t="shared" si="5"/>
        <v>7</v>
      </c>
      <c r="AD4" s="185">
        <f t="shared" si="5"/>
        <v>9</v>
      </c>
      <c r="AE4" s="185">
        <f t="shared" si="5"/>
        <v>11</v>
      </c>
      <c r="AF4" s="185">
        <f t="shared" si="5"/>
        <v>16</v>
      </c>
      <c r="AG4" s="185">
        <f t="shared" si="5"/>
        <v>18</v>
      </c>
      <c r="AH4" s="185">
        <f t="shared" si="5"/>
        <v>20</v>
      </c>
      <c r="AI4" s="185">
        <f t="shared" si="5"/>
        <v>23</v>
      </c>
      <c r="AJ4" s="185">
        <f t="shared" ref="AJ4" si="6">IF(ISBLANK(AJ3)=TRUE,"",AJ3-$I$5)</f>
        <v>25</v>
      </c>
      <c r="AK4" s="185">
        <f t="shared" ref="AK4" si="7">IF(ISBLANK(AK3)=TRUE,"",AK3-$I$5)</f>
        <v>27</v>
      </c>
      <c r="AL4" s="185">
        <f t="shared" ref="AL4" si="8">IF(ISBLANK(AL3)=TRUE,"",AL3-$I$5)</f>
        <v>30</v>
      </c>
      <c r="AM4" s="185">
        <f t="shared" ref="AM4" si="9">IF(ISBLANK(AM3)=TRUE,"",AM3-$I$5)</f>
        <v>32</v>
      </c>
      <c r="AN4" s="185">
        <f t="shared" ref="AN4" si="10">IF(ISBLANK(AN3)=TRUE,"",AN3-$I$5)</f>
        <v>34</v>
      </c>
      <c r="AO4" s="185">
        <f t="shared" ref="AO4" si="11">IF(ISBLANK(AO3)=TRUE,"",AO3-$I$5)</f>
        <v>37</v>
      </c>
      <c r="AP4" s="185">
        <f t="shared" ref="AP4" si="12">IF(ISBLANK(AP3)=TRUE,"",AP3-$I$5)</f>
        <v>40</v>
      </c>
      <c r="AQ4" s="185">
        <f t="shared" ref="AQ4" si="13">IF(ISBLANK(AQ3)=TRUE,"",AQ3-$I$5)</f>
        <v>42</v>
      </c>
      <c r="AR4" s="185">
        <f t="shared" ref="AR4" si="14">IF(ISBLANK(AR3)=TRUE,"",AR3-$I$5)</f>
        <v>45</v>
      </c>
      <c r="AS4" s="185">
        <f t="shared" ref="AS4" si="15">IF(ISBLANK(AS3)=TRUE,"",AS3-$I$5)</f>
        <v>48</v>
      </c>
      <c r="AT4" s="185">
        <f t="shared" ref="AT4:AU4" si="16">IF(ISBLANK(AT3)=TRUE,"",AT3-$I$5)</f>
        <v>51</v>
      </c>
      <c r="AU4" s="185">
        <f t="shared" si="16"/>
        <v>53</v>
      </c>
      <c r="AV4" s="185">
        <f t="shared" ref="AV4" si="17">IF(ISBLANK(AV3)=TRUE,"",AV3-$I$5)</f>
        <v>55</v>
      </c>
      <c r="AW4" s="185">
        <f t="shared" ref="AW4" si="18">IF(ISBLANK(AW3)=TRUE,"",AW3-$I$5)</f>
        <v>58</v>
      </c>
      <c r="AX4" s="185">
        <f t="shared" ref="AX4" si="19">IF(ISBLANK(AX3)=TRUE,"",AX3-$I$5)</f>
        <v>60</v>
      </c>
      <c r="AY4" s="185">
        <f t="shared" ref="AY4" si="20">IF(ISBLANK(AY3)=TRUE,"",AY3-$I$5)</f>
        <v>62</v>
      </c>
      <c r="AZ4" s="185">
        <f t="shared" ref="AZ4" si="21">IF(ISBLANK(AZ3)=TRUE,"",AZ3-$I$5)</f>
        <v>64</v>
      </c>
      <c r="BA4" s="185">
        <f t="shared" ref="BA4" si="22">IF(ISBLANK(BA3)=TRUE,"",BA3-$I$5)</f>
        <v>66</v>
      </c>
      <c r="BB4" s="185">
        <f t="shared" ref="BB4" si="23">IF(ISBLANK(BB3)=TRUE,"",BB3-$I$5)</f>
        <v>69</v>
      </c>
      <c r="BC4" s="185">
        <f t="shared" ref="BC4" si="24">IF(ISBLANK(BC3)=TRUE,"",BC3-$I$5)</f>
        <v>71</v>
      </c>
      <c r="BD4" s="185">
        <f t="shared" ref="BD4" si="25">IF(ISBLANK(BD3)=TRUE,"",BD3-$I$5)</f>
        <v>73</v>
      </c>
      <c r="BE4" s="185">
        <f t="shared" ref="BE4" si="26">IF(ISBLANK(BE3)=TRUE,"",BE3-$I$5)</f>
        <v>76</v>
      </c>
      <c r="BF4" s="185">
        <f t="shared" ref="BF4:BG4" si="27">IF(ISBLANK(BF3)=TRUE,"",BF3-$I$5)</f>
        <v>80</v>
      </c>
      <c r="BG4" s="185">
        <f t="shared" si="27"/>
        <v>83</v>
      </c>
      <c r="BH4" s="185">
        <f t="shared" ref="BH4" si="28">IF(ISBLANK(BH3)=TRUE,"",BH3-$I$5)</f>
        <v>86</v>
      </c>
      <c r="BI4" s="185">
        <f t="shared" ref="BI4" si="29">IF(ISBLANK(BI3)=TRUE,"",BI3-$I$5)</f>
        <v>92</v>
      </c>
      <c r="BJ4" s="185">
        <f t="shared" ref="BJ4" si="30">IF(ISBLANK(BJ3)=TRUE,"",BJ3-$I$5)</f>
        <v>94</v>
      </c>
      <c r="BK4" s="185">
        <f t="shared" ref="BK4" si="31">IF(ISBLANK(BK3)=TRUE,"",BK3-$I$5)</f>
        <v>98</v>
      </c>
      <c r="BL4" s="185">
        <f t="shared" ref="BL4" si="32">IF(ISBLANK(BL3)=TRUE,"",BL3-$I$5)</f>
        <v>101</v>
      </c>
      <c r="BM4" s="185">
        <f t="shared" ref="BM4" si="33">IF(ISBLANK(BM3)=TRUE,"",BM3-$I$5)</f>
        <v>104</v>
      </c>
      <c r="BN4" s="185">
        <f t="shared" ref="BN4" si="34">IF(ISBLANK(BN3)=TRUE,"",BN3-$I$5)</f>
        <v>107</v>
      </c>
      <c r="BO4" s="185" t="str">
        <f>IF(ISBLANK(BO3)=TRUE,"",BO3-#REF!)</f>
        <v/>
      </c>
      <c r="BP4" s="185" t="str">
        <f>IF(ISBLANK(BP3)=TRUE,"",BP3-#REF!)</f>
        <v/>
      </c>
      <c r="BQ4" s="246" t="s">
        <v>57</v>
      </c>
      <c r="BR4" s="185">
        <f t="shared" si="0"/>
        <v>-2</v>
      </c>
      <c r="BS4" s="185">
        <f t="shared" si="0"/>
        <v>-1</v>
      </c>
      <c r="BT4" s="185">
        <f t="shared" si="0"/>
        <v>0</v>
      </c>
      <c r="BU4" s="185">
        <f t="shared" si="0"/>
        <v>1</v>
      </c>
      <c r="BV4" s="185">
        <f t="shared" si="0"/>
        <v>2</v>
      </c>
      <c r="BW4" s="185">
        <f t="shared" si="0"/>
        <v>4</v>
      </c>
      <c r="BX4" s="185">
        <f t="shared" si="0"/>
        <v>7</v>
      </c>
      <c r="BY4" s="185">
        <f t="shared" si="0"/>
        <v>9</v>
      </c>
      <c r="BZ4" s="185">
        <f t="shared" si="0"/>
        <v>11</v>
      </c>
      <c r="CA4" s="185">
        <f t="shared" si="0"/>
        <v>16</v>
      </c>
      <c r="CB4" s="185">
        <f t="shared" si="1"/>
        <v>18</v>
      </c>
      <c r="CC4" s="185">
        <f t="shared" si="1"/>
        <v>20</v>
      </c>
      <c r="CD4" s="185">
        <f t="shared" si="1"/>
        <v>23</v>
      </c>
      <c r="CE4" s="185">
        <f t="shared" si="1"/>
        <v>25</v>
      </c>
      <c r="CF4" s="185">
        <f t="shared" si="1"/>
        <v>27</v>
      </c>
      <c r="CG4" s="185">
        <f t="shared" si="1"/>
        <v>30</v>
      </c>
      <c r="CH4" s="185">
        <f t="shared" si="1"/>
        <v>32</v>
      </c>
      <c r="CI4" s="185">
        <f t="shared" si="1"/>
        <v>34</v>
      </c>
      <c r="CJ4" s="185">
        <f t="shared" si="1"/>
        <v>37</v>
      </c>
      <c r="CK4" s="185">
        <f t="shared" si="1"/>
        <v>40</v>
      </c>
      <c r="CL4" s="185">
        <f t="shared" si="2"/>
        <v>42</v>
      </c>
      <c r="CM4" s="185">
        <f t="shared" si="2"/>
        <v>45</v>
      </c>
      <c r="CN4" s="185">
        <f t="shared" si="2"/>
        <v>48</v>
      </c>
      <c r="CO4" s="185">
        <f t="shared" si="2"/>
        <v>51</v>
      </c>
      <c r="CP4" s="185">
        <f t="shared" si="2"/>
        <v>53</v>
      </c>
      <c r="CQ4" s="185">
        <f t="shared" si="2"/>
        <v>55</v>
      </c>
      <c r="CR4" s="185">
        <f t="shared" si="2"/>
        <v>58</v>
      </c>
      <c r="CS4" s="185">
        <f t="shared" si="2"/>
        <v>60</v>
      </c>
      <c r="CT4" s="185">
        <f t="shared" si="2"/>
        <v>62</v>
      </c>
      <c r="CU4" s="185">
        <f t="shared" si="2"/>
        <v>64</v>
      </c>
      <c r="CV4" s="185">
        <f t="shared" si="3"/>
        <v>66</v>
      </c>
      <c r="CW4" s="185">
        <f t="shared" si="3"/>
        <v>69</v>
      </c>
      <c r="CX4" s="185">
        <f t="shared" si="3"/>
        <v>71</v>
      </c>
      <c r="CY4" s="185">
        <f t="shared" si="3"/>
        <v>73</v>
      </c>
      <c r="CZ4" s="185">
        <f t="shared" si="3"/>
        <v>76</v>
      </c>
      <c r="DA4" s="185">
        <f t="shared" si="3"/>
        <v>80</v>
      </c>
      <c r="DB4" s="185">
        <f t="shared" si="3"/>
        <v>83</v>
      </c>
      <c r="DC4" s="185">
        <f t="shared" si="3"/>
        <v>86</v>
      </c>
      <c r="DD4" s="185">
        <f t="shared" si="3"/>
        <v>92</v>
      </c>
      <c r="DE4" s="185">
        <f t="shared" si="4"/>
        <v>94</v>
      </c>
      <c r="DF4" s="185">
        <f t="shared" si="4"/>
        <v>98</v>
      </c>
      <c r="DG4" s="185">
        <f t="shared" si="4"/>
        <v>101</v>
      </c>
      <c r="DH4" s="185">
        <f t="shared" si="4"/>
        <v>104</v>
      </c>
      <c r="DI4" s="185">
        <f t="shared" si="4"/>
        <v>107</v>
      </c>
      <c r="DJ4" s="185" t="str">
        <f t="shared" si="4"/>
        <v/>
      </c>
      <c r="DK4" s="185" t="str">
        <f t="shared" si="4"/>
        <v/>
      </c>
    </row>
    <row r="5" spans="1:115">
      <c r="A5" s="37">
        <v>1066032</v>
      </c>
      <c r="B5" s="1">
        <v>55</v>
      </c>
      <c r="C5" s="27" t="str">
        <f t="shared" ref="C5:C13" si="35">CONCATENATE(A5,"-",B5)</f>
        <v>1066032-55</v>
      </c>
      <c r="D5" s="25" t="s">
        <v>56</v>
      </c>
      <c r="E5" s="34" t="s">
        <v>62</v>
      </c>
      <c r="F5" s="29">
        <v>42850</v>
      </c>
      <c r="G5" s="210" t="s">
        <v>67</v>
      </c>
      <c r="H5" s="83">
        <v>26.6</v>
      </c>
      <c r="I5" s="29">
        <v>42861</v>
      </c>
      <c r="J5" s="35">
        <v>28.5</v>
      </c>
      <c r="K5" s="35">
        <v>6.6</v>
      </c>
      <c r="L5" s="35">
        <v>5.0999999999999996</v>
      </c>
      <c r="M5" s="35">
        <f t="shared" ref="M5:M13" si="36">IF(ISBLANK(K5)=TRUE,"",K5*L5^2*0.52)</f>
        <v>89.266319999999993</v>
      </c>
      <c r="N5" s="30">
        <f t="shared" ref="N5:N30" si="37">M5*10</f>
        <v>892.66319999999996</v>
      </c>
      <c r="O5" s="30">
        <f t="shared" ref="O5:O30" si="38">M5/3</f>
        <v>29.755439999999997</v>
      </c>
      <c r="P5" s="35">
        <v>0</v>
      </c>
      <c r="Q5" s="140">
        <f t="shared" ref="Q5:Q12" si="39">P5/M5</f>
        <v>0</v>
      </c>
      <c r="R5" s="142">
        <f t="shared" ref="R5:R13" si="40">P5/N5</f>
        <v>0</v>
      </c>
      <c r="S5" s="238"/>
      <c r="T5" s="239"/>
      <c r="U5" s="31"/>
      <c r="V5" s="121"/>
      <c r="W5" s="78">
        <f>5.7*5.6*5.6*0.52</f>
        <v>92.951039999999992</v>
      </c>
      <c r="X5" s="83">
        <v>105.4</v>
      </c>
      <c r="Y5" s="83">
        <v>89.266319999999993</v>
      </c>
      <c r="Z5" s="83">
        <f>7.9*5.4*5.4*0.52</f>
        <v>119.78928000000002</v>
      </c>
      <c r="AA5" s="83">
        <f>8.3*5.5*5.5*0.52</f>
        <v>130.55900000000003</v>
      </c>
      <c r="AB5" s="83">
        <f>7.3*5.6*5.6*0.52</f>
        <v>119.04255999999999</v>
      </c>
      <c r="AC5" s="83">
        <f>8.3*6.2*6.2*0.52</f>
        <v>165.90704000000005</v>
      </c>
      <c r="AD5" s="83">
        <f>9.5*6.5*6.5*0.52</f>
        <v>208.715</v>
      </c>
      <c r="AE5" s="83">
        <f>10.6*7.7*7.7*0.52</f>
        <v>326.80648000000002</v>
      </c>
      <c r="AF5" s="83">
        <f>11*8.5*8.5*0.52</f>
        <v>413.27000000000004</v>
      </c>
      <c r="AG5" s="83">
        <f>12.1*8.4*8.4*0.52</f>
        <v>443.96352000000007</v>
      </c>
      <c r="AH5" s="83">
        <f>12.3*9.5*9.5*0.52</f>
        <v>577.23900000000003</v>
      </c>
      <c r="AI5" s="83">
        <f>12.4*9*9*0.52</f>
        <v>522.28800000000001</v>
      </c>
      <c r="AJ5" s="83">
        <f>12.5*10*10*0.52</f>
        <v>650</v>
      </c>
      <c r="AK5" s="83">
        <f>12.9*9.7*9.7*0.52</f>
        <v>631.15571999999997</v>
      </c>
      <c r="AL5" s="83">
        <f>12.9*10.9*10.9*0.52</f>
        <v>796.97748000000013</v>
      </c>
      <c r="AM5" s="83">
        <f>13.6*10.8*10.8*0.52</f>
        <v>824.87808000000007</v>
      </c>
      <c r="AN5" s="83">
        <f>15.1*12.5*12.5*0.52</f>
        <v>1226.875</v>
      </c>
      <c r="AO5" s="83">
        <f>15.7*13.5*13.5*0.52</f>
        <v>1487.8889999999999</v>
      </c>
      <c r="AP5" s="83">
        <f>16.4*14.2*14.2*0.52</f>
        <v>1719.5859199999998</v>
      </c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36"/>
      <c r="BR5" s="230">
        <f t="shared" ref="BR5:BR30" si="41">IF(OR(ISERROR(W5/$M5)=TRUE,ISBLANK(W5)=TRUE),"",W5/$M5)</f>
        <v>1.0412778302051657</v>
      </c>
      <c r="BS5" s="230">
        <f t="shared" ref="BS5:BS30" si="42">IF(OR(ISERROR(X5/$M5)=TRUE,ISBLANK(X5)=TRUE),"",X5/$M5)</f>
        <v>1.180736474854122</v>
      </c>
      <c r="BT5" s="230">
        <f t="shared" ref="BT5:BT30" si="43">IF(OR(ISERROR(Y5/$M5)=TRUE,ISBLANK(Y5)=TRUE),"",Y5/$M5)</f>
        <v>1</v>
      </c>
      <c r="BU5" s="230">
        <f t="shared" ref="BU5:BU30" si="44">IF(OR(ISERROR(Z5/$M5)=TRUE,ISBLANK(Z5)=TRUE),"",Z5/$M5)</f>
        <v>1.341931424976408</v>
      </c>
      <c r="BV5" s="230">
        <f t="shared" ref="BV5:BV30" si="45">IF(OR(ISERROR(AA5/$M5)=TRUE,ISBLANK(AA5)=TRUE),"",AA5/$M5)</f>
        <v>1.4625784954504681</v>
      </c>
      <c r="BW5" s="230">
        <f t="shared" ref="BW5:BW30" si="46">IF(OR(ISERROR(AB5/$M5)=TRUE,ISBLANK(AB5)=TRUE),"",AB5/$M5)</f>
        <v>1.3335663439469667</v>
      </c>
      <c r="BX5" s="230">
        <f t="shared" ref="BX5:BX30" si="47">IF(OR(ISERROR(AC5/$M5)=TRUE,ISBLANK(AC5)=TRUE),"",AC5/$M5)</f>
        <v>1.858562557524496</v>
      </c>
      <c r="BY5" s="230">
        <f t="shared" ref="BY5:BY30" si="48">IF(OR(ISERROR(AD5/$M5)=TRUE,ISBLANK(AD5)=TRUE),"",AD5/$M5)</f>
        <v>2.33811587617816</v>
      </c>
      <c r="BZ5" s="230">
        <f t="shared" ref="BZ5:BZ30" si="49">IF(OR(ISERROR(AE5/$M5)=TRUE,ISBLANK(AE5)=TRUE),"",AE5/$M5)</f>
        <v>3.6610278098167375</v>
      </c>
      <c r="CA5" s="230">
        <f t="shared" ref="CA5:CA30" si="50">IF(OR(ISERROR(AF5/$M5)=TRUE,ISBLANK(AF5)=TRUE),"",AF5/$M5)</f>
        <v>4.6296296296296306</v>
      </c>
      <c r="CB5" s="230">
        <f t="shared" ref="CB5:CB30" si="51">IF(OR(ISERROR(AG5/$M5)=TRUE,ISBLANK(AG5)=TRUE),"",AG5/$M5)</f>
        <v>4.9734717416378329</v>
      </c>
      <c r="CC5" s="230">
        <f t="shared" ref="CC5:CC30" si="52">IF(OR(ISERROR(AH5/$M5)=TRUE,ISBLANK(AH5)=TRUE),"",AH5/$M5)</f>
        <v>6.4664814232288288</v>
      </c>
      <c r="CD5" s="230">
        <f t="shared" ref="CD5:CD30" si="53">IF(OR(ISERROR(AI5/$M5)=TRUE,ISBLANK(AI5)=TRUE),"",AI5/$M5)</f>
        <v>5.8508965083359552</v>
      </c>
      <c r="CE5" s="230">
        <f t="shared" ref="CE5:CE30" si="54">IF(OR(ISERROR(AJ5/$M5)=TRUE,ISBLANK(AJ5)=TRUE),"",AJ5/$M5)</f>
        <v>7.2815816760453442</v>
      </c>
      <c r="CF5" s="230">
        <f t="shared" ref="CF5:CF30" si="55">IF(OR(ISERROR(AK5/$M5)=TRUE,ISBLANK(AK5)=TRUE),"",AK5/$M5)</f>
        <v>7.070479885358778</v>
      </c>
      <c r="CG5" s="230">
        <f t="shared" ref="CG5:CG30" si="56">IF(OR(ISERROR(AL5/$M5)=TRUE,ISBLANK(AL5)=TRUE),"",AL5/$M5)</f>
        <v>8.928087099367378</v>
      </c>
      <c r="CH5" s="230">
        <f t="shared" ref="CH5:CH30" si="57">IF(OR(ISERROR(AM5/$M5)=TRUE,ISBLANK(AM5)=TRUE),"",AM5/$M5)</f>
        <v>9.2406417112299479</v>
      </c>
      <c r="CI5" s="230">
        <f t="shared" ref="CI5:CI30" si="58">IF(OR(ISERROR(AN5/$M5)=TRUE,ISBLANK(AN5)=TRUE),"",AN5/$M5)</f>
        <v>13.743985413535588</v>
      </c>
      <c r="CJ5" s="230">
        <f t="shared" ref="CJ5:CJ30" si="59">IF(OR(ISERROR(AO5/$M5)=TRUE,ISBLANK(AO5)=TRUE),"",AO5/$M5)</f>
        <v>16.667977351368354</v>
      </c>
      <c r="CK5" s="230">
        <f t="shared" ref="CK5:CK30" si="60">IF(OR(ISERROR(AP5/$M5)=TRUE,ISBLANK(AP5)=TRUE),"",AP5/$M5)</f>
        <v>19.263546654550115</v>
      </c>
      <c r="CL5" s="230" t="str">
        <f t="shared" ref="CL5:CL30" si="61">IF(OR(ISERROR(AQ5/$M5)=TRUE,ISBLANK(AQ5)=TRUE),"",AQ5/$M5)</f>
        <v/>
      </c>
      <c r="CM5" s="230" t="str">
        <f t="shared" ref="CM5:CM30" si="62">IF(OR(ISERROR(AR5/$M5)=TRUE,ISBLANK(AR5)=TRUE),"",AR5/$M5)</f>
        <v/>
      </c>
      <c r="CN5" s="230" t="str">
        <f t="shared" ref="CN5:CN30" si="63">IF(OR(ISERROR(AS5/$M5)=TRUE,ISBLANK(AS5)=TRUE),"",AS5/$M5)</f>
        <v/>
      </c>
      <c r="CO5" s="230" t="str">
        <f t="shared" ref="CO5:CO30" si="64">IF(OR(ISERROR(AT5/$M5)=TRUE,ISBLANK(AT5)=TRUE),"",AT5/$M5)</f>
        <v/>
      </c>
      <c r="CP5" s="230" t="str">
        <f t="shared" ref="CP5:CP30" si="65">IF(OR(ISERROR(AU5/$M5)=TRUE,ISBLANK(AU5)=TRUE),"",AU5/$M5)</f>
        <v/>
      </c>
      <c r="CQ5" s="230" t="str">
        <f t="shared" ref="CQ5:CQ30" si="66">IF(OR(ISERROR(AV5/$M5)=TRUE,ISBLANK(AV5)=TRUE),"",AV5/$M5)</f>
        <v/>
      </c>
      <c r="CR5" s="230" t="str">
        <f t="shared" ref="CR5:CR30" si="67">IF(OR(ISERROR(AW5/$M5)=TRUE,ISBLANK(AW5)=TRUE),"",AW5/$M5)</f>
        <v/>
      </c>
      <c r="CS5" s="230" t="str">
        <f t="shared" ref="CS5:CS30" si="68">IF(OR(ISERROR(AX5/$M5)=TRUE,ISBLANK(AX5)=TRUE),"",AX5/$M5)</f>
        <v/>
      </c>
      <c r="CT5" s="230" t="str">
        <f t="shared" ref="CT5:CT30" si="69">IF(OR(ISERROR(AY5/$M5)=TRUE,ISBLANK(AY5)=TRUE),"",AY5/$M5)</f>
        <v/>
      </c>
      <c r="CU5" s="230" t="str">
        <f t="shared" ref="CU5:CU30" si="70">IF(OR(ISERROR(AZ5/$M5)=TRUE,ISBLANK(AZ5)=TRUE),"",AZ5/$M5)</f>
        <v/>
      </c>
      <c r="CV5" s="230" t="str">
        <f t="shared" ref="CV5:CV30" si="71">IF(OR(ISERROR(BA5/$M5)=TRUE,ISBLANK(BA5)=TRUE),"",BA5/$M5)</f>
        <v/>
      </c>
      <c r="CW5" s="230" t="str">
        <f t="shared" ref="CW5:CW30" si="72">IF(OR(ISERROR(BB5/$M5)=TRUE,ISBLANK(BB5)=TRUE),"",BB5/$M5)</f>
        <v/>
      </c>
      <c r="CX5" s="230" t="str">
        <f t="shared" ref="CX5:CX30" si="73">IF(OR(ISERROR(BC5/$M5)=TRUE,ISBLANK(BC5)=TRUE),"",BC5/$M5)</f>
        <v/>
      </c>
      <c r="CY5" s="230" t="str">
        <f t="shared" ref="CY5:CY30" si="74">IF(OR(ISERROR(BD5/$M5)=TRUE,ISBLANK(BD5)=TRUE),"",BD5/$M5)</f>
        <v/>
      </c>
      <c r="CZ5" s="230" t="str">
        <f t="shared" ref="CZ5:CZ30" si="75">IF(OR(ISERROR(BE5/$M5)=TRUE,ISBLANK(BE5)=TRUE),"",BE5/$M5)</f>
        <v/>
      </c>
      <c r="DA5" s="230" t="str">
        <f t="shared" ref="DA5:DA30" si="76">IF(OR(ISERROR(BF5/$M5)=TRUE,ISBLANK(BF5)=TRUE),"",BF5/$M5)</f>
        <v/>
      </c>
      <c r="DB5" s="230" t="str">
        <f t="shared" ref="DB5:DB30" si="77">IF(OR(ISERROR(BG5/$M5)=TRUE,ISBLANK(BG5)=TRUE),"",BG5/$M5)</f>
        <v/>
      </c>
      <c r="DC5" s="230" t="str">
        <f t="shared" ref="DC5:DC30" si="78">IF(OR(ISERROR(BH5/$M5)=TRUE,ISBLANK(BH5)=TRUE),"",BH5/$M5)</f>
        <v/>
      </c>
      <c r="DD5" s="230" t="str">
        <f t="shared" ref="DD5:DD30" si="79">IF(OR(ISERROR(BI5/$M5)=TRUE,ISBLANK(BI5)=TRUE),"",BI5/$M5)</f>
        <v/>
      </c>
      <c r="DE5" s="230" t="str">
        <f t="shared" ref="DE5:DE30" si="80">IF(OR(ISERROR(BJ5/$M5)=TRUE,ISBLANK(BJ5)=TRUE),"",BJ5/$M5)</f>
        <v/>
      </c>
      <c r="DF5" s="230" t="str">
        <f t="shared" ref="DF5:DF30" si="81">IF(OR(ISERROR(BK5/$M5)=TRUE,ISBLANK(BK5)=TRUE),"",BK5/$M5)</f>
        <v/>
      </c>
      <c r="DG5" s="230" t="str">
        <f t="shared" ref="DG5:DG30" si="82">IF(OR(ISERROR(BL5/$M5)=TRUE,ISBLANK(BL5)=TRUE),"",BL5/$M5)</f>
        <v/>
      </c>
      <c r="DH5" s="230" t="str">
        <f t="shared" ref="DH5:DH30" si="83">IF(OR(ISERROR(BM5/$M5)=TRUE,ISBLANK(BM5)=TRUE),"",BM5/$M5)</f>
        <v/>
      </c>
      <c r="DI5" s="230" t="str">
        <f t="shared" ref="DI5:DI30" si="84">IF(OR(ISERROR(BN5/$M5)=TRUE,ISBLANK(BN5)=TRUE),"",BN5/$M5)</f>
        <v/>
      </c>
      <c r="DJ5" s="230" t="str">
        <f t="shared" ref="DJ5:DJ30" si="85">IF(OR(ISERROR(BO5/$M5)=TRUE,ISBLANK(BO5)=TRUE),"",BO5/$M5)</f>
        <v/>
      </c>
      <c r="DK5" s="230" t="str">
        <f t="shared" ref="DK5:DK30" si="86">IF(OR(ISERROR(BP5/$M5)=TRUE,ISBLANK(BP5)=TRUE),"",BP5/$M5)</f>
        <v/>
      </c>
    </row>
    <row r="6" spans="1:115">
      <c r="A6" s="37">
        <v>1066023</v>
      </c>
      <c r="B6" s="1">
        <v>61</v>
      </c>
      <c r="C6" s="27" t="str">
        <f t="shared" si="35"/>
        <v>1066023-61</v>
      </c>
      <c r="D6" s="25" t="s">
        <v>56</v>
      </c>
      <c r="E6" s="34" t="s">
        <v>62</v>
      </c>
      <c r="F6" s="29">
        <v>42850</v>
      </c>
      <c r="G6" s="210" t="s">
        <v>67</v>
      </c>
      <c r="H6" s="83">
        <v>27.5</v>
      </c>
      <c r="I6" s="29">
        <v>42861</v>
      </c>
      <c r="J6" s="35">
        <v>29.6</v>
      </c>
      <c r="K6" s="35">
        <v>8.4</v>
      </c>
      <c r="L6" s="35">
        <v>6.2</v>
      </c>
      <c r="M6" s="35">
        <f t="shared" si="36"/>
        <v>167.90592000000004</v>
      </c>
      <c r="N6" s="30">
        <f t="shared" si="37"/>
        <v>1679.0592000000004</v>
      </c>
      <c r="O6" s="30">
        <f t="shared" si="38"/>
        <v>55.968640000000015</v>
      </c>
      <c r="P6" s="35">
        <v>0</v>
      </c>
      <c r="Q6" s="140">
        <f t="shared" si="39"/>
        <v>0</v>
      </c>
      <c r="R6" s="142">
        <f t="shared" si="40"/>
        <v>0</v>
      </c>
      <c r="S6" s="238"/>
      <c r="T6" s="239"/>
      <c r="U6" s="31"/>
      <c r="V6" s="121"/>
      <c r="W6" s="78">
        <f>6.5*5.5*5.5*0.52</f>
        <v>102.245</v>
      </c>
      <c r="X6" s="83">
        <v>159.80000000000001</v>
      </c>
      <c r="Y6" s="83">
        <v>167.90592000000004</v>
      </c>
      <c r="Z6" s="83">
        <f>8.8*6.1*6.1*0.52</f>
        <v>170.27295999999998</v>
      </c>
      <c r="AA6" s="83">
        <f>7.7*7*7*0.52</f>
        <v>196.19600000000003</v>
      </c>
      <c r="AB6" s="83">
        <f>9.8*7*7*0.52</f>
        <v>249.70400000000004</v>
      </c>
      <c r="AC6" s="83">
        <f>9.7*6.5*6.5*0.52</f>
        <v>213.10900000000001</v>
      </c>
      <c r="AD6" s="83">
        <f>11.5*7.5*7.5*0.52</f>
        <v>336.375</v>
      </c>
      <c r="AE6" s="83">
        <f>12*7.8*7.8*0.52</f>
        <v>379.64159999999998</v>
      </c>
      <c r="AF6" s="83">
        <f>12.4*8.8*8.8*0.52</f>
        <v>499.33312000000012</v>
      </c>
      <c r="AG6" s="83">
        <f>12.3*9.3*9.3*0.52</f>
        <v>553.19004000000018</v>
      </c>
      <c r="AH6" s="83">
        <f>14*10.1*10.1*0.52</f>
        <v>742.63280000000009</v>
      </c>
      <c r="AI6" s="83">
        <f>14.3*10.4*10.4*0.52</f>
        <v>804.27776000000006</v>
      </c>
      <c r="AJ6" s="83">
        <f>14.6*10.5*10.5*0.52</f>
        <v>837.01799999999992</v>
      </c>
      <c r="AK6" s="83">
        <f>13.7*9.9*9.9*0.52</f>
        <v>698.22324000000003</v>
      </c>
      <c r="AL6" s="83">
        <f>15.5*11.7*11.7*0.52</f>
        <v>1103.3333999999998</v>
      </c>
      <c r="AM6" s="83">
        <f>14.9*12.3*12.3*0.52</f>
        <v>1172.1949200000004</v>
      </c>
      <c r="AN6" s="83">
        <f>16.7*13.2*13.2*0.52</f>
        <v>1513.1001599999997</v>
      </c>
      <c r="AO6" s="83">
        <f>16.5*15.2*15.2*0.52</f>
        <v>1982.3231999999998</v>
      </c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36"/>
      <c r="BR6" s="230">
        <f t="shared" si="41"/>
        <v>0.60894219810713035</v>
      </c>
      <c r="BS6" s="230">
        <f t="shared" si="42"/>
        <v>0.95172344131761388</v>
      </c>
      <c r="BT6" s="230">
        <f t="shared" si="43"/>
        <v>1</v>
      </c>
      <c r="BU6" s="230">
        <f t="shared" si="44"/>
        <v>1.0140974183638072</v>
      </c>
      <c r="BV6" s="230">
        <f t="shared" si="45"/>
        <v>1.1684876864377383</v>
      </c>
      <c r="BW6" s="230">
        <f t="shared" si="46"/>
        <v>1.4871661463753034</v>
      </c>
      <c r="BX6" s="230">
        <f t="shared" si="47"/>
        <v>1.2692167137406469</v>
      </c>
      <c r="BY6" s="230">
        <f t="shared" si="48"/>
        <v>2.0033540211089633</v>
      </c>
      <c r="BZ6" s="230">
        <f t="shared" si="49"/>
        <v>2.2610376096328224</v>
      </c>
      <c r="CA6" s="230">
        <f t="shared" si="50"/>
        <v>2.9738863287250386</v>
      </c>
      <c r="CB6" s="230">
        <f t="shared" si="51"/>
        <v>3.2946428571428577</v>
      </c>
      <c r="CC6" s="230">
        <f t="shared" si="52"/>
        <v>4.4229101630246266</v>
      </c>
      <c r="CD6" s="230">
        <f t="shared" si="53"/>
        <v>4.7900500470739802</v>
      </c>
      <c r="CE6" s="230">
        <f t="shared" si="54"/>
        <v>4.9850416233090513</v>
      </c>
      <c r="CF6" s="230">
        <f t="shared" si="55"/>
        <v>4.1584194291660461</v>
      </c>
      <c r="CG6" s="230">
        <f t="shared" si="56"/>
        <v>6.5711405529953888</v>
      </c>
      <c r="CH6" s="230">
        <f t="shared" si="57"/>
        <v>6.9812602200089202</v>
      </c>
      <c r="CI6" s="230">
        <f t="shared" si="58"/>
        <v>9.01159506466478</v>
      </c>
      <c r="CJ6" s="230">
        <f t="shared" si="59"/>
        <v>11.806154303552843</v>
      </c>
      <c r="CK6" s="230" t="str">
        <f t="shared" si="60"/>
        <v/>
      </c>
      <c r="CL6" s="230" t="str">
        <f t="shared" si="61"/>
        <v/>
      </c>
      <c r="CM6" s="230" t="str">
        <f t="shared" si="62"/>
        <v/>
      </c>
      <c r="CN6" s="230" t="str">
        <f t="shared" si="63"/>
        <v/>
      </c>
      <c r="CO6" s="230" t="str">
        <f t="shared" si="64"/>
        <v/>
      </c>
      <c r="CP6" s="230" t="str">
        <f t="shared" si="65"/>
        <v/>
      </c>
      <c r="CQ6" s="230" t="str">
        <f t="shared" si="66"/>
        <v/>
      </c>
      <c r="CR6" s="230" t="str">
        <f t="shared" si="67"/>
        <v/>
      </c>
      <c r="CS6" s="230" t="str">
        <f t="shared" si="68"/>
        <v/>
      </c>
      <c r="CT6" s="230" t="str">
        <f t="shared" si="69"/>
        <v/>
      </c>
      <c r="CU6" s="230" t="str">
        <f t="shared" si="70"/>
        <v/>
      </c>
      <c r="CV6" s="230" t="str">
        <f t="shared" si="71"/>
        <v/>
      </c>
      <c r="CW6" s="230" t="str">
        <f t="shared" si="72"/>
        <v/>
      </c>
      <c r="CX6" s="230" t="str">
        <f t="shared" si="73"/>
        <v/>
      </c>
      <c r="CY6" s="230" t="str">
        <f t="shared" si="74"/>
        <v/>
      </c>
      <c r="CZ6" s="230" t="str">
        <f t="shared" si="75"/>
        <v/>
      </c>
      <c r="DA6" s="230" t="str">
        <f t="shared" si="76"/>
        <v/>
      </c>
      <c r="DB6" s="230" t="str">
        <f t="shared" si="77"/>
        <v/>
      </c>
      <c r="DC6" s="230" t="str">
        <f t="shared" si="78"/>
        <v/>
      </c>
      <c r="DD6" s="230" t="str">
        <f t="shared" si="79"/>
        <v/>
      </c>
      <c r="DE6" s="230" t="str">
        <f t="shared" si="80"/>
        <v/>
      </c>
      <c r="DF6" s="230" t="str">
        <f t="shared" si="81"/>
        <v/>
      </c>
      <c r="DG6" s="230" t="str">
        <f t="shared" si="82"/>
        <v/>
      </c>
      <c r="DH6" s="230" t="str">
        <f t="shared" si="83"/>
        <v/>
      </c>
      <c r="DI6" s="230" t="str">
        <f t="shared" si="84"/>
        <v/>
      </c>
      <c r="DJ6" s="230" t="str">
        <f t="shared" si="85"/>
        <v/>
      </c>
      <c r="DK6" s="230" t="str">
        <f t="shared" si="86"/>
        <v/>
      </c>
    </row>
    <row r="7" spans="1:115">
      <c r="A7" s="37">
        <v>1066023</v>
      </c>
      <c r="B7" s="1">
        <v>62</v>
      </c>
      <c r="C7" s="27" t="str">
        <f t="shared" si="35"/>
        <v>1066023-62</v>
      </c>
      <c r="D7" s="25" t="s">
        <v>56</v>
      </c>
      <c r="E7" s="34" t="s">
        <v>63</v>
      </c>
      <c r="F7" s="29">
        <v>42850</v>
      </c>
      <c r="G7" s="210" t="s">
        <v>67</v>
      </c>
      <c r="H7" s="83">
        <v>24.1</v>
      </c>
      <c r="I7" s="29">
        <v>42861</v>
      </c>
      <c r="J7" s="35">
        <v>24.5</v>
      </c>
      <c r="K7" s="35">
        <v>6.7</v>
      </c>
      <c r="L7" s="35">
        <v>5.5</v>
      </c>
      <c r="M7" s="35">
        <f t="shared" si="36"/>
        <v>105.39100000000001</v>
      </c>
      <c r="N7" s="30">
        <f t="shared" si="37"/>
        <v>1053.9100000000001</v>
      </c>
      <c r="O7" s="30">
        <f t="shared" si="38"/>
        <v>35.130333333333333</v>
      </c>
      <c r="P7" s="35">
        <v>687</v>
      </c>
      <c r="Q7" s="140">
        <f t="shared" si="39"/>
        <v>6.5185831807270072</v>
      </c>
      <c r="R7" s="142">
        <f t="shared" si="40"/>
        <v>0.65185831807270067</v>
      </c>
      <c r="S7" s="238">
        <v>100</v>
      </c>
      <c r="T7" s="239"/>
      <c r="U7" s="31"/>
      <c r="V7" s="121"/>
      <c r="W7" s="78">
        <f>6.4*4.8*4.8*0.52</f>
        <v>76.677120000000002</v>
      </c>
      <c r="X7" s="83">
        <v>72.599999999999994</v>
      </c>
      <c r="Y7" s="83">
        <v>105.39100000000001</v>
      </c>
      <c r="Z7" s="83">
        <f>9.2*6.3*6.3*0.52</f>
        <v>189.87696</v>
      </c>
      <c r="AA7" s="83">
        <f>7.5*5.7*5.7*0.52</f>
        <v>126.71100000000001</v>
      </c>
      <c r="AB7" s="83">
        <f>7.7*6.3*6.3*0.52</f>
        <v>158.91875999999999</v>
      </c>
      <c r="AC7" s="83">
        <f>6.8*5.5*5.5*0.52</f>
        <v>106.964</v>
      </c>
      <c r="AD7" s="83">
        <f>7.4*5.5*5.5*0.52</f>
        <v>116.40200000000002</v>
      </c>
      <c r="AE7" s="83">
        <f>7.2*5.9*5.9*0.52</f>
        <v>130.32864000000004</v>
      </c>
      <c r="AF7" s="83">
        <f>5.8*5.1*5.1*0.52</f>
        <v>78.446159999999992</v>
      </c>
      <c r="AG7" s="83">
        <f>7.1*5.3*5.3*0.52</f>
        <v>103.70827999999999</v>
      </c>
      <c r="AH7" s="82">
        <f>7*5*5*0.52</f>
        <v>91</v>
      </c>
      <c r="AI7" s="83">
        <f>6.1*5.1*5.1*0.52</f>
        <v>82.503719999999987</v>
      </c>
      <c r="AJ7" s="83">
        <f>6*5.3*5.3*0.52</f>
        <v>87.640799999999999</v>
      </c>
      <c r="AK7" s="83">
        <f>4*3*3*0.52</f>
        <v>18.72</v>
      </c>
      <c r="AL7" s="83">
        <f>5.3*4.7*4.7*0.52</f>
        <v>60.880040000000001</v>
      </c>
      <c r="AM7" s="83">
        <f>6.7*5.4*5.4*0.52</f>
        <v>101.59344000000003</v>
      </c>
      <c r="AN7" s="83">
        <f>6.6*5.7*5.7*0.52</f>
        <v>111.50568</v>
      </c>
      <c r="AO7" s="83">
        <f>7.5*5.9*5.9*0.52</f>
        <v>135.75899999999999</v>
      </c>
      <c r="AP7" s="83">
        <f>8.1*6.8*6.8*0.52</f>
        <v>194.76288</v>
      </c>
      <c r="AQ7" s="83">
        <f>9.1*6.7*6.7*0.52</f>
        <v>212.41948000000002</v>
      </c>
      <c r="AR7" s="83">
        <f>9.1*7*7*0.52</f>
        <v>231.86799999999999</v>
      </c>
      <c r="AS7" s="83">
        <f>9.9*7*7*0.52</f>
        <v>252.25199999999998</v>
      </c>
      <c r="AT7" s="83">
        <f>10.5*8.5*8.5*0.52</f>
        <v>394.48500000000001</v>
      </c>
      <c r="AU7" s="83">
        <f>11.1*8.8*8.8*0.52</f>
        <v>446.98368000000011</v>
      </c>
      <c r="AV7" s="83">
        <f>12.7*8.2*8.2*0.52</f>
        <v>444.05295999999993</v>
      </c>
      <c r="AW7" s="83">
        <f>11.8*8.6*8.6*0.52</f>
        <v>453.81855999999999</v>
      </c>
      <c r="AX7" s="83">
        <f>11.6*9.2*9.2*0.52</f>
        <v>510.54847999999987</v>
      </c>
      <c r="AY7" s="83">
        <f>11.7*10*10*0.52</f>
        <v>608.4</v>
      </c>
      <c r="AZ7" s="83">
        <f>11.3*9.2*9.2*0.52</f>
        <v>497.34463999999997</v>
      </c>
      <c r="BA7" s="83">
        <f>12.3*10.1*10.1*0.52</f>
        <v>652.45596</v>
      </c>
      <c r="BB7" s="83">
        <f>12.7*10.1*10.1*0.52</f>
        <v>673.67403999999988</v>
      </c>
      <c r="BC7" s="83">
        <f>13*10.5*10.5*0.52</f>
        <v>745.29000000000008</v>
      </c>
      <c r="BD7" s="83">
        <f>14.1*10.8*10.8*0.52</f>
        <v>855.20447999999999</v>
      </c>
      <c r="BE7" s="83">
        <f>14.5*10.9*10.9*0.52</f>
        <v>895.82740000000013</v>
      </c>
      <c r="BF7" s="83">
        <f>14.7*11.8*11.8*0.52</f>
        <v>1064.3505600000001</v>
      </c>
      <c r="BG7" s="83">
        <f>15.1*12.7*12.7*0.52</f>
        <v>1266.4490799999999</v>
      </c>
      <c r="BH7" s="83">
        <f>15.6*13*13*0.52</f>
        <v>1370.9279999999999</v>
      </c>
      <c r="BI7" s="83">
        <f>16*13.4*13.4*0.52</f>
        <v>1493.9392</v>
      </c>
      <c r="BJ7" s="83">
        <f>16.3*13*13*0.52</f>
        <v>1432.4440000000002</v>
      </c>
      <c r="BK7" s="83">
        <f>17.5*13.6*13.6*0.52</f>
        <v>1683.136</v>
      </c>
      <c r="BL7" s="83"/>
      <c r="BM7" s="83"/>
      <c r="BN7" s="83"/>
      <c r="BO7" s="83"/>
      <c r="BP7" s="83"/>
      <c r="BQ7" s="36"/>
      <c r="BR7" s="230">
        <f t="shared" si="41"/>
        <v>0.72754903170099916</v>
      </c>
      <c r="BS7" s="230">
        <f t="shared" si="42"/>
        <v>0.68886337543053955</v>
      </c>
      <c r="BT7" s="230">
        <f t="shared" si="43"/>
        <v>1</v>
      </c>
      <c r="BU7" s="230">
        <f t="shared" si="44"/>
        <v>1.8016430245466879</v>
      </c>
      <c r="BV7" s="230">
        <f t="shared" si="45"/>
        <v>1.2022943135561861</v>
      </c>
      <c r="BW7" s="230">
        <f t="shared" si="46"/>
        <v>1.5078968792401626</v>
      </c>
      <c r="BX7" s="230">
        <f t="shared" si="47"/>
        <v>1.0149253731343284</v>
      </c>
      <c r="BY7" s="230">
        <f t="shared" si="48"/>
        <v>1.1044776119402986</v>
      </c>
      <c r="BZ7" s="230">
        <f t="shared" si="49"/>
        <v>1.2366202047613177</v>
      </c>
      <c r="CA7" s="230">
        <f t="shared" si="50"/>
        <v>0.74433452571851477</v>
      </c>
      <c r="CB7" s="230">
        <f t="shared" si="51"/>
        <v>0.98403355125200431</v>
      </c>
      <c r="CC7" s="230">
        <f t="shared" si="52"/>
        <v>0.86345133834957444</v>
      </c>
      <c r="CD7" s="230">
        <f t="shared" si="53"/>
        <v>0.78283458739361034</v>
      </c>
      <c r="CE7" s="230">
        <f t="shared" si="54"/>
        <v>0.8315776489453558</v>
      </c>
      <c r="CF7" s="230">
        <f t="shared" si="55"/>
        <v>0.17762427531762673</v>
      </c>
      <c r="CG7" s="230">
        <f t="shared" si="56"/>
        <v>0.57765881337116065</v>
      </c>
      <c r="CH7" s="230">
        <f t="shared" si="57"/>
        <v>0.96396694214876055</v>
      </c>
      <c r="CI7" s="230">
        <f t="shared" si="58"/>
        <v>1.0580189959294437</v>
      </c>
      <c r="CJ7" s="230">
        <f t="shared" si="59"/>
        <v>1.2881460466263721</v>
      </c>
      <c r="CK7" s="230">
        <f t="shared" si="60"/>
        <v>1.8480029604045884</v>
      </c>
      <c r="CL7" s="230">
        <f t="shared" si="61"/>
        <v>2.0155371900826449</v>
      </c>
      <c r="CM7" s="230">
        <f t="shared" si="62"/>
        <v>2.2000740101147156</v>
      </c>
      <c r="CN7" s="230">
        <f t="shared" si="63"/>
        <v>2.3934871099050201</v>
      </c>
      <c r="CO7" s="230">
        <f t="shared" si="64"/>
        <v>3.7430615517454053</v>
      </c>
      <c r="CP7" s="230">
        <f t="shared" si="65"/>
        <v>4.2411940298507469</v>
      </c>
      <c r="CQ7" s="230">
        <f t="shared" si="66"/>
        <v>4.2133859627482417</v>
      </c>
      <c r="CR7" s="230">
        <f t="shared" si="67"/>
        <v>4.3060466263722708</v>
      </c>
      <c r="CS7" s="230">
        <f t="shared" si="68"/>
        <v>4.8443271247070419</v>
      </c>
      <c r="CT7" s="230">
        <f t="shared" si="69"/>
        <v>5.7727889478228684</v>
      </c>
      <c r="CU7" s="230">
        <f t="shared" si="70"/>
        <v>4.7190428025163431</v>
      </c>
      <c r="CV7" s="230">
        <f t="shared" si="71"/>
        <v>6.19081287775996</v>
      </c>
      <c r="CW7" s="230">
        <f t="shared" si="72"/>
        <v>6.3921401258171935</v>
      </c>
      <c r="CX7" s="230">
        <f t="shared" si="73"/>
        <v>7.0716664610830149</v>
      </c>
      <c r="CY7" s="230">
        <f t="shared" si="74"/>
        <v>8.11458739361046</v>
      </c>
      <c r="CZ7" s="230">
        <f t="shared" si="75"/>
        <v>8.5000370050573579</v>
      </c>
      <c r="DA7" s="230">
        <f t="shared" si="76"/>
        <v>10.099065005550759</v>
      </c>
      <c r="DB7" s="230">
        <f t="shared" si="77"/>
        <v>12.016672011841617</v>
      </c>
      <c r="DC7" s="230">
        <f t="shared" si="78"/>
        <v>13.00801776242753</v>
      </c>
      <c r="DD7" s="230">
        <f t="shared" si="79"/>
        <v>14.175206611570248</v>
      </c>
      <c r="DE7" s="230">
        <f t="shared" si="80"/>
        <v>13.591710867151845</v>
      </c>
      <c r="DF7" s="230">
        <f t="shared" si="81"/>
        <v>15.970395954113728</v>
      </c>
      <c r="DG7" s="230" t="str">
        <f t="shared" si="82"/>
        <v/>
      </c>
      <c r="DH7" s="230" t="str">
        <f t="shared" si="83"/>
        <v/>
      </c>
      <c r="DI7" s="230" t="str">
        <f t="shared" si="84"/>
        <v/>
      </c>
      <c r="DJ7" s="230" t="str">
        <f t="shared" si="85"/>
        <v/>
      </c>
      <c r="DK7" s="230" t="str">
        <f t="shared" si="86"/>
        <v/>
      </c>
    </row>
    <row r="8" spans="1:115">
      <c r="A8" s="37">
        <v>1066023</v>
      </c>
      <c r="B8" s="1">
        <v>63</v>
      </c>
      <c r="C8" s="27" t="str">
        <f t="shared" si="35"/>
        <v>1066023-63</v>
      </c>
      <c r="D8" s="25" t="s">
        <v>56</v>
      </c>
      <c r="E8" s="34" t="s">
        <v>63</v>
      </c>
      <c r="F8" s="29">
        <v>42850</v>
      </c>
      <c r="G8" s="210" t="s">
        <v>67</v>
      </c>
      <c r="H8" s="83">
        <v>26.8</v>
      </c>
      <c r="I8" s="29">
        <v>42861</v>
      </c>
      <c r="J8" s="35">
        <v>27.4</v>
      </c>
      <c r="K8" s="35">
        <v>7.2</v>
      </c>
      <c r="L8" s="35">
        <v>5.5</v>
      </c>
      <c r="M8" s="35">
        <f t="shared" si="36"/>
        <v>113.25600000000001</v>
      </c>
      <c r="N8" s="30">
        <f t="shared" si="37"/>
        <v>1132.5600000000002</v>
      </c>
      <c r="O8" s="30">
        <f t="shared" si="38"/>
        <v>37.752000000000002</v>
      </c>
      <c r="P8" s="35">
        <v>694</v>
      </c>
      <c r="Q8" s="140">
        <f t="shared" si="39"/>
        <v>6.1277106731652182</v>
      </c>
      <c r="R8" s="142">
        <f t="shared" si="40"/>
        <v>0.61277106731652176</v>
      </c>
      <c r="S8" s="238">
        <v>100</v>
      </c>
      <c r="T8" s="239"/>
      <c r="U8" s="31"/>
      <c r="V8" s="121"/>
      <c r="W8" s="78">
        <f>5.5*4.9*4.9*0.52</f>
        <v>68.668600000000026</v>
      </c>
      <c r="X8" s="83">
        <v>118</v>
      </c>
      <c r="Y8" s="83">
        <v>113.25600000000001</v>
      </c>
      <c r="Z8" s="83">
        <f>8.8*6.3*6.3*0.52</f>
        <v>181.62144000000004</v>
      </c>
      <c r="AA8" s="83">
        <f>8.1*6.6*6.6*0.52</f>
        <v>183.47471999999999</v>
      </c>
      <c r="AB8" s="83">
        <f>7.3*5.8*5.8*0.52</f>
        <v>127.69743999999999</v>
      </c>
      <c r="AC8" s="83">
        <f>6.9*5.4*5.4*0.52</f>
        <v>104.62608000000002</v>
      </c>
      <c r="AD8" s="83">
        <f>6.7*5.7*5.7*0.52</f>
        <v>113.19516000000002</v>
      </c>
      <c r="AE8" s="83">
        <f>6.5*5*5*0.52</f>
        <v>84.5</v>
      </c>
      <c r="AF8" s="83">
        <f>4.7*4.1*4.1*0.52</f>
        <v>41.083639999999995</v>
      </c>
      <c r="AG8" s="83">
        <f>5.6*4.7*4.7*0.52</f>
        <v>64.326080000000005</v>
      </c>
      <c r="AH8" s="83">
        <f>4.2*3.7*3.7*0.52</f>
        <v>29.898960000000002</v>
      </c>
      <c r="AI8" s="83">
        <f>4*3.2*3.2*0.52</f>
        <v>21.299200000000006</v>
      </c>
      <c r="AJ8" s="83">
        <f>4.5*3.8*3.8*0.52</f>
        <v>33.789599999999993</v>
      </c>
      <c r="AK8" s="83">
        <f>3.3*2.2*2.2*0.52</f>
        <v>8.3054400000000008</v>
      </c>
      <c r="AL8" s="83">
        <f>3.6*3.2*3.2*0.52</f>
        <v>19.169280000000004</v>
      </c>
      <c r="AM8" s="83">
        <f>5.5*4.4*4.4*0.52</f>
        <v>55.369600000000013</v>
      </c>
      <c r="AN8" s="83">
        <f>7.2*5.9*5.9*0.52</f>
        <v>130.32864000000004</v>
      </c>
      <c r="AO8" s="83">
        <f>7.5*5.9*5.9*0.52</f>
        <v>135.75899999999999</v>
      </c>
      <c r="AP8" s="83">
        <f>6.6*6.4*6.4*0.52</f>
        <v>140.57472000000001</v>
      </c>
      <c r="AQ8" s="83">
        <f>6.7*4.9*4.9*0.52</f>
        <v>83.650840000000031</v>
      </c>
      <c r="AR8" s="83">
        <f>7*5.4*5.4*0.52</f>
        <v>106.14240000000002</v>
      </c>
      <c r="AS8" s="83">
        <f>7.3*5.2*5.2*0.52</f>
        <v>102.64384000000001</v>
      </c>
      <c r="AT8" s="83">
        <f>7.2*6.5*6.5*0.52</f>
        <v>158.18400000000003</v>
      </c>
      <c r="AU8" s="83">
        <f>8.3*6.8*6.8*0.52</f>
        <v>199.57184000000001</v>
      </c>
      <c r="AV8" s="83">
        <f>9.8*6.6*6.6*0.52</f>
        <v>221.98176000000004</v>
      </c>
      <c r="AW8" s="83">
        <f>9.1*7.2*7.2*0.52</f>
        <v>245.30688000000001</v>
      </c>
      <c r="AX8" s="83">
        <f>10.1*7.3*7.3*0.52</f>
        <v>279.87907999999999</v>
      </c>
      <c r="AY8" s="83">
        <f>9.6*6.4*6.4*0.52</f>
        <v>204.47232000000002</v>
      </c>
      <c r="AZ8" s="83">
        <f>10.4*7.6*7.6*0.52</f>
        <v>312.36608000000001</v>
      </c>
      <c r="BA8" s="83">
        <f>9*7.5*7.5*0.52</f>
        <v>263.25</v>
      </c>
      <c r="BB8" s="83">
        <f>10.9*7.6*7.6*0.52</f>
        <v>327.38367999999997</v>
      </c>
      <c r="BC8" s="83">
        <f>9.8*8.3*8.3*0.52</f>
        <v>351.06344000000013</v>
      </c>
      <c r="BD8" s="83">
        <f>11*8.2*8.2*0.52</f>
        <v>384.61279999999994</v>
      </c>
      <c r="BE8" s="83">
        <f>10.2*7.7*7.7*0.52</f>
        <v>314.47415999999998</v>
      </c>
      <c r="BF8" s="83">
        <f>11.1*8.1*8.1*0.52</f>
        <v>378.70092</v>
      </c>
      <c r="BG8" s="83">
        <f>12*9.4*9.4*0.52</f>
        <v>551.36640000000011</v>
      </c>
      <c r="BH8" s="83">
        <f>12*8.8*8.8*0.52</f>
        <v>483.2256000000001</v>
      </c>
      <c r="BI8" s="83">
        <f>12.1*10.2*10.2*0.52</f>
        <v>654.6196799999999</v>
      </c>
      <c r="BJ8" s="83">
        <f>12.9*10.3*10.3*0.52</f>
        <v>711.65172000000007</v>
      </c>
      <c r="BK8" s="83">
        <f>13.4*10.1*10.1*0.52</f>
        <v>710.80568000000005</v>
      </c>
      <c r="BL8" s="83">
        <f>12.9*11.1*11.1*0.52</f>
        <v>826.49267999999995</v>
      </c>
      <c r="BM8" s="83">
        <f>14.4*11.4*11.4*0.52</f>
        <v>973.14048000000003</v>
      </c>
      <c r="BN8" s="83">
        <f>15.3*11.6*11.6*0.52</f>
        <v>1070.55936</v>
      </c>
      <c r="BO8" s="83"/>
      <c r="BP8" s="83"/>
      <c r="BQ8" s="36"/>
      <c r="BR8" s="230">
        <f t="shared" si="41"/>
        <v>0.60631313131313147</v>
      </c>
      <c r="BS8" s="230">
        <f t="shared" si="42"/>
        <v>1.041887405523769</v>
      </c>
      <c r="BT8" s="230">
        <f t="shared" si="43"/>
        <v>1</v>
      </c>
      <c r="BU8" s="230">
        <f t="shared" si="44"/>
        <v>1.6036363636363637</v>
      </c>
      <c r="BV8" s="230">
        <f t="shared" si="45"/>
        <v>1.6199999999999997</v>
      </c>
      <c r="BW8" s="230">
        <f t="shared" si="46"/>
        <v>1.1275114784205691</v>
      </c>
      <c r="BX8" s="230">
        <f t="shared" si="47"/>
        <v>0.923801652892562</v>
      </c>
      <c r="BY8" s="230">
        <f t="shared" si="48"/>
        <v>0.99946280991735537</v>
      </c>
      <c r="BZ8" s="230">
        <f t="shared" si="49"/>
        <v>0.74609733700642777</v>
      </c>
      <c r="CA8" s="230">
        <f t="shared" si="50"/>
        <v>0.3627502295684113</v>
      </c>
      <c r="CB8" s="230">
        <f t="shared" si="51"/>
        <v>0.56797061524334247</v>
      </c>
      <c r="CC8" s="230">
        <f t="shared" si="52"/>
        <v>0.26399449035812672</v>
      </c>
      <c r="CD8" s="230">
        <f t="shared" si="53"/>
        <v>0.18806244260789717</v>
      </c>
      <c r="CE8" s="230">
        <f t="shared" si="54"/>
        <v>0.2983471074380164</v>
      </c>
      <c r="CF8" s="230">
        <f t="shared" si="55"/>
        <v>7.3333333333333334E-2</v>
      </c>
      <c r="CG8" s="230">
        <f t="shared" si="56"/>
        <v>0.16925619834710745</v>
      </c>
      <c r="CH8" s="230">
        <f t="shared" si="57"/>
        <v>0.48888888888888893</v>
      </c>
      <c r="CI8" s="230">
        <f t="shared" si="58"/>
        <v>1.1507438016528928</v>
      </c>
      <c r="CJ8" s="230">
        <f t="shared" si="59"/>
        <v>1.1986914600550962</v>
      </c>
      <c r="CK8" s="230">
        <f t="shared" si="60"/>
        <v>1.2412121212121212</v>
      </c>
      <c r="CL8" s="230">
        <f t="shared" si="61"/>
        <v>0.73859963269054196</v>
      </c>
      <c r="CM8" s="230">
        <f t="shared" si="62"/>
        <v>0.93719008264462822</v>
      </c>
      <c r="CN8" s="230">
        <f t="shared" si="63"/>
        <v>0.90629935720844812</v>
      </c>
      <c r="CO8" s="230">
        <f t="shared" si="64"/>
        <v>1.3966942148760331</v>
      </c>
      <c r="CP8" s="230">
        <f t="shared" si="65"/>
        <v>1.7621303948576674</v>
      </c>
      <c r="CQ8" s="230">
        <f t="shared" si="66"/>
        <v>1.96</v>
      </c>
      <c r="CR8" s="230">
        <f t="shared" si="67"/>
        <v>2.1659504132231402</v>
      </c>
      <c r="CS8" s="230">
        <f t="shared" si="68"/>
        <v>2.4712075298438929</v>
      </c>
      <c r="CT8" s="230">
        <f t="shared" si="69"/>
        <v>1.8053994490358127</v>
      </c>
      <c r="CU8" s="230">
        <f t="shared" si="70"/>
        <v>2.7580532598714416</v>
      </c>
      <c r="CV8" s="230">
        <f t="shared" si="71"/>
        <v>2.3243801652892557</v>
      </c>
      <c r="CW8" s="230">
        <f t="shared" si="72"/>
        <v>2.8906519742883372</v>
      </c>
      <c r="CX8" s="230">
        <f t="shared" si="73"/>
        <v>3.0997337006427923</v>
      </c>
      <c r="CY8" s="230">
        <f t="shared" si="74"/>
        <v>3.395959595959595</v>
      </c>
      <c r="CZ8" s="230">
        <f t="shared" si="75"/>
        <v>2.776666666666666</v>
      </c>
      <c r="DA8" s="230">
        <f t="shared" si="76"/>
        <v>3.3437603305785117</v>
      </c>
      <c r="DB8" s="230">
        <f t="shared" si="77"/>
        <v>4.8683195592286506</v>
      </c>
      <c r="DC8" s="230">
        <f t="shared" si="78"/>
        <v>4.2666666666666666</v>
      </c>
      <c r="DD8" s="230">
        <f t="shared" si="79"/>
        <v>5.7799999999999985</v>
      </c>
      <c r="DE8" s="230">
        <f t="shared" si="80"/>
        <v>6.2835674931129475</v>
      </c>
      <c r="DF8" s="230">
        <f t="shared" si="81"/>
        <v>6.2760973370064272</v>
      </c>
      <c r="DG8" s="230">
        <f t="shared" si="82"/>
        <v>7.2975619834710734</v>
      </c>
      <c r="DH8" s="230">
        <f t="shared" si="83"/>
        <v>8.5923966942148748</v>
      </c>
      <c r="DI8" s="230">
        <f t="shared" si="84"/>
        <v>9.4525619834710728</v>
      </c>
      <c r="DJ8" s="230" t="str">
        <f t="shared" si="85"/>
        <v/>
      </c>
      <c r="DK8" s="230" t="str">
        <f t="shared" si="86"/>
        <v/>
      </c>
    </row>
    <row r="9" spans="1:115">
      <c r="A9" s="37">
        <v>1066023</v>
      </c>
      <c r="B9" s="1">
        <v>64</v>
      </c>
      <c r="C9" s="27" t="str">
        <f t="shared" si="35"/>
        <v>1066023-64</v>
      </c>
      <c r="D9" s="25" t="s">
        <v>56</v>
      </c>
      <c r="E9" s="34" t="s">
        <v>63</v>
      </c>
      <c r="F9" s="29">
        <v>42850</v>
      </c>
      <c r="G9" s="210" t="s">
        <v>67</v>
      </c>
      <c r="H9" s="83">
        <v>30.2</v>
      </c>
      <c r="I9" s="29">
        <v>42861</v>
      </c>
      <c r="J9" s="35">
        <v>31.5</v>
      </c>
      <c r="K9" s="35">
        <v>9.8000000000000007</v>
      </c>
      <c r="L9" s="35">
        <v>6.4</v>
      </c>
      <c r="M9" s="35">
        <f t="shared" si="36"/>
        <v>208.73216000000008</v>
      </c>
      <c r="N9" s="30">
        <f t="shared" si="37"/>
        <v>2087.3216000000007</v>
      </c>
      <c r="O9" s="30">
        <f t="shared" si="38"/>
        <v>69.577386666666698</v>
      </c>
      <c r="P9" s="35">
        <v>1715</v>
      </c>
      <c r="Q9" s="140">
        <f t="shared" si="39"/>
        <v>8.2162710336538431</v>
      </c>
      <c r="R9" s="142">
        <f t="shared" si="40"/>
        <v>0.82162710336538436</v>
      </c>
      <c r="S9" s="238">
        <v>100</v>
      </c>
      <c r="T9" s="239"/>
      <c r="U9" s="31"/>
      <c r="V9" s="121"/>
      <c r="W9" s="78">
        <f>6.9*4.2*4.2*0.52</f>
        <v>63.292320000000011</v>
      </c>
      <c r="X9" s="83">
        <v>151.9</v>
      </c>
      <c r="Y9" s="83">
        <v>208.73216000000008</v>
      </c>
      <c r="Z9" s="83">
        <f>10.9*7.1*7.1*0.52</f>
        <v>285.72387999999995</v>
      </c>
      <c r="AA9" s="83">
        <f>9.8*7.5*7.5*0.52</f>
        <v>286.65000000000003</v>
      </c>
      <c r="AB9" s="83">
        <f>9.8*7.3*7.3*0.52</f>
        <v>271.56584000000004</v>
      </c>
      <c r="AC9" s="83">
        <f>8.6*6.4*6.4*0.52</f>
        <v>183.17312000000001</v>
      </c>
      <c r="AD9" s="83">
        <f>8.5*6.7*6.7*0.52</f>
        <v>198.41380000000004</v>
      </c>
      <c r="AE9" s="83">
        <f>7.7*6.2*6.2*0.52</f>
        <v>153.91376</v>
      </c>
      <c r="AF9" s="83">
        <f>7.6*6.1*6.1*0.52</f>
        <v>147.05391999999998</v>
      </c>
      <c r="AG9" s="83">
        <f>8.4*6.5*6.5*0.52</f>
        <v>184.54800000000003</v>
      </c>
      <c r="AH9" s="83">
        <f>8.3*6.2*6.2*0.52</f>
        <v>165.90704000000005</v>
      </c>
      <c r="AI9" s="83">
        <f>7.3*6.1*6.1*0.52</f>
        <v>141.24915999999996</v>
      </c>
      <c r="AJ9" s="83">
        <f>9.6*6.1*6.1*0.52</f>
        <v>185.75231999999997</v>
      </c>
      <c r="AK9" s="83">
        <f>0</f>
        <v>0</v>
      </c>
      <c r="AL9" s="83">
        <f>8.6*5.9*5.9*0.52</f>
        <v>155.67032000000003</v>
      </c>
      <c r="AM9" s="83">
        <f>7.9*6.7*6.7*0.52</f>
        <v>184.40812000000003</v>
      </c>
      <c r="AN9" s="83">
        <f>8.2*6.9*6.9*0.52</f>
        <v>203.00904</v>
      </c>
      <c r="AO9" s="83">
        <f>8.1*6.5*6.5*0.52</f>
        <v>177.95699999999999</v>
      </c>
      <c r="AP9" s="83">
        <f>7.6*6.2*6.2*0.52</f>
        <v>151.91488000000001</v>
      </c>
      <c r="AQ9" s="83">
        <f>10.6*6.6*6.6*0.52</f>
        <v>240.10271999999998</v>
      </c>
      <c r="AR9" s="83">
        <f>9.9*7.3*7.3*0.52</f>
        <v>274.33691999999996</v>
      </c>
      <c r="AS9" s="83">
        <f>10*7.6*7.6*0.52</f>
        <v>300.35200000000003</v>
      </c>
      <c r="AT9" s="83">
        <f>10*8.5*8.5*0.52</f>
        <v>375.7</v>
      </c>
      <c r="AU9" s="83">
        <f>10.2*8.2*8.2*0.52</f>
        <v>356.64095999999995</v>
      </c>
      <c r="AV9" s="83">
        <f>12.1*10*10*0.52</f>
        <v>629.20000000000005</v>
      </c>
      <c r="AW9" s="83">
        <f>10.4*8.1*8.1*0.52</f>
        <v>354.81887999999998</v>
      </c>
      <c r="AX9" s="83">
        <f>18.5*10.3*10.3*0.52</f>
        <v>1020.5858000000002</v>
      </c>
      <c r="AY9" s="83">
        <f>17*10.5*10.5*0.52</f>
        <v>974.61</v>
      </c>
      <c r="AZ9" s="83">
        <f>16.2*10.5*10.5*0.52</f>
        <v>928.74599999999998</v>
      </c>
      <c r="BA9" s="83">
        <f>17.6*11.2*11.2*0.52</f>
        <v>1148.0268799999999</v>
      </c>
      <c r="BB9" s="83">
        <f>18.6*11.1*11.1*0.52</f>
        <v>1191.68712</v>
      </c>
      <c r="BC9" s="83">
        <f>20.6*13.1*13.1*0.52</f>
        <v>1838.2863200000002</v>
      </c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36"/>
      <c r="BR9" s="230">
        <f t="shared" si="41"/>
        <v>0.30322265624999994</v>
      </c>
      <c r="BS9" s="230">
        <f t="shared" si="42"/>
        <v>0.72772686298076894</v>
      </c>
      <c r="BT9" s="230">
        <f t="shared" si="43"/>
        <v>1</v>
      </c>
      <c r="BU9" s="230">
        <f t="shared" si="44"/>
        <v>1.3688541334502544</v>
      </c>
      <c r="BV9" s="230">
        <f t="shared" si="45"/>
        <v>1.3732910156249996</v>
      </c>
      <c r="BW9" s="230">
        <f t="shared" si="46"/>
        <v>1.3010253906249998</v>
      </c>
      <c r="BX9" s="230">
        <f t="shared" si="47"/>
        <v>0.87755102040816302</v>
      </c>
      <c r="BY9" s="230">
        <f t="shared" si="48"/>
        <v>0.95056650589923453</v>
      </c>
      <c r="BZ9" s="230">
        <f t="shared" si="49"/>
        <v>0.73737444196428537</v>
      </c>
      <c r="CA9" s="230">
        <f t="shared" si="50"/>
        <v>0.70451012436224447</v>
      </c>
      <c r="CB9" s="230">
        <f t="shared" si="51"/>
        <v>0.88413783482142838</v>
      </c>
      <c r="CC9" s="230">
        <f t="shared" si="52"/>
        <v>0.79483219068877542</v>
      </c>
      <c r="CD9" s="230">
        <f t="shared" si="53"/>
        <v>0.67670051419005062</v>
      </c>
      <c r="CE9" s="230">
        <f t="shared" si="54"/>
        <v>0.88990752551020358</v>
      </c>
      <c r="CF9" s="230">
        <f t="shared" si="55"/>
        <v>0</v>
      </c>
      <c r="CG9" s="230">
        <f t="shared" si="56"/>
        <v>0.74578981983418358</v>
      </c>
      <c r="CH9" s="230">
        <f t="shared" si="57"/>
        <v>0.88346769371811207</v>
      </c>
      <c r="CI9" s="230">
        <f t="shared" si="58"/>
        <v>0.97258151307397922</v>
      </c>
      <c r="CJ9" s="230">
        <f t="shared" si="59"/>
        <v>0.85256148357780581</v>
      </c>
      <c r="CK9" s="230">
        <f t="shared" si="60"/>
        <v>0.72779815051020391</v>
      </c>
      <c r="CL9" s="230">
        <f t="shared" si="61"/>
        <v>1.1502909757653055</v>
      </c>
      <c r="CM9" s="230">
        <f t="shared" si="62"/>
        <v>1.3143011599170911</v>
      </c>
      <c r="CN9" s="230">
        <f t="shared" si="63"/>
        <v>1.4389349489795915</v>
      </c>
      <c r="CO9" s="230">
        <f t="shared" si="64"/>
        <v>1.7999143016581625</v>
      </c>
      <c r="CP9" s="230">
        <f t="shared" si="65"/>
        <v>1.7086057079081625</v>
      </c>
      <c r="CQ9" s="230">
        <f t="shared" si="66"/>
        <v>3.0143893494897949</v>
      </c>
      <c r="CR9" s="230">
        <f t="shared" si="67"/>
        <v>1.6998764349489788</v>
      </c>
      <c r="CS9" s="230">
        <f t="shared" si="68"/>
        <v>4.8894516302614788</v>
      </c>
      <c r="CT9" s="230">
        <f t="shared" si="69"/>
        <v>4.6691894531249982</v>
      </c>
      <c r="CU9" s="230">
        <f t="shared" si="70"/>
        <v>4.4494628906249982</v>
      </c>
      <c r="CV9" s="230">
        <f t="shared" si="71"/>
        <v>5.4999999999999973</v>
      </c>
      <c r="CW9" s="230">
        <f t="shared" si="72"/>
        <v>5.7091687260841821</v>
      </c>
      <c r="CX9" s="230">
        <f t="shared" si="73"/>
        <v>8.8069146603954049</v>
      </c>
      <c r="CY9" s="230" t="str">
        <f t="shared" si="74"/>
        <v/>
      </c>
      <c r="CZ9" s="230" t="str">
        <f t="shared" si="75"/>
        <v/>
      </c>
      <c r="DA9" s="230" t="str">
        <f t="shared" si="76"/>
        <v/>
      </c>
      <c r="DB9" s="230" t="str">
        <f t="shared" si="77"/>
        <v/>
      </c>
      <c r="DC9" s="230" t="str">
        <f t="shared" si="78"/>
        <v/>
      </c>
      <c r="DD9" s="230" t="str">
        <f t="shared" si="79"/>
        <v/>
      </c>
      <c r="DE9" s="230" t="str">
        <f t="shared" si="80"/>
        <v/>
      </c>
      <c r="DF9" s="230" t="str">
        <f t="shared" si="81"/>
        <v/>
      </c>
      <c r="DG9" s="230" t="str">
        <f t="shared" si="82"/>
        <v/>
      </c>
      <c r="DH9" s="230" t="str">
        <f t="shared" si="83"/>
        <v/>
      </c>
      <c r="DI9" s="230" t="str">
        <f t="shared" si="84"/>
        <v/>
      </c>
      <c r="DJ9" s="230" t="str">
        <f t="shared" si="85"/>
        <v/>
      </c>
      <c r="DK9" s="230" t="str">
        <f t="shared" si="86"/>
        <v/>
      </c>
    </row>
    <row r="10" spans="1:115">
      <c r="A10" s="37">
        <v>1066023</v>
      </c>
      <c r="B10" s="1">
        <v>65</v>
      </c>
      <c r="C10" s="27" t="str">
        <f t="shared" si="35"/>
        <v>1066023-65</v>
      </c>
      <c r="D10" s="25" t="s">
        <v>56</v>
      </c>
      <c r="E10" s="34" t="s">
        <v>62</v>
      </c>
      <c r="F10" s="29">
        <v>42850</v>
      </c>
      <c r="G10" s="210" t="s">
        <v>67</v>
      </c>
      <c r="H10" s="83">
        <v>23.4</v>
      </c>
      <c r="I10" s="29">
        <v>42861</v>
      </c>
      <c r="J10" s="35">
        <v>24.1</v>
      </c>
      <c r="K10" s="35">
        <v>6.4</v>
      </c>
      <c r="L10" s="35">
        <v>5.4</v>
      </c>
      <c r="M10" s="35">
        <f t="shared" si="36"/>
        <v>97.044480000000021</v>
      </c>
      <c r="N10" s="30">
        <f t="shared" si="37"/>
        <v>970.44480000000021</v>
      </c>
      <c r="O10" s="30">
        <f t="shared" si="38"/>
        <v>32.348160000000007</v>
      </c>
      <c r="P10" s="35">
        <v>0</v>
      </c>
      <c r="Q10" s="140">
        <f t="shared" si="39"/>
        <v>0</v>
      </c>
      <c r="R10" s="142">
        <f t="shared" si="40"/>
        <v>0</v>
      </c>
      <c r="S10" s="238"/>
      <c r="T10" s="239"/>
      <c r="U10" s="31"/>
      <c r="V10" s="121"/>
      <c r="W10" s="78">
        <f>5.7*4.8*4.8*0.52</f>
        <v>68.290559999999999</v>
      </c>
      <c r="X10" s="83">
        <v>78</v>
      </c>
      <c r="Y10" s="83">
        <v>97.044480000000021</v>
      </c>
      <c r="Z10" s="83">
        <f>7.4*5.3*5.3*0.52</f>
        <v>108.09031999999999</v>
      </c>
      <c r="AA10" s="83">
        <f>7*6.1*6.1*0.52</f>
        <v>135.4444</v>
      </c>
      <c r="AB10" s="83">
        <f>7.4*6.6*6.6*0.52</f>
        <v>167.61887999999996</v>
      </c>
      <c r="AC10" s="83">
        <f>8.1*6.2*6.2*0.52</f>
        <v>161.90928</v>
      </c>
      <c r="AD10" s="83">
        <f>8.5*6*6*0.52</f>
        <v>159.12</v>
      </c>
      <c r="AE10" s="83">
        <f>9.9*6.7*6.7*0.52</f>
        <v>231.09372000000002</v>
      </c>
      <c r="AF10" s="83">
        <f>8.7*7*7*0.52</f>
        <v>221.67599999999999</v>
      </c>
      <c r="AG10" s="83">
        <f>11.8*7.8*7.8*0.52</f>
        <v>373.31424000000004</v>
      </c>
      <c r="AH10" s="83">
        <f>11.6*8.4*8.4*0.52</f>
        <v>425.61792000000003</v>
      </c>
      <c r="AI10" s="83">
        <f>12.1*8.5*8.5*0.52</f>
        <v>454.59699999999998</v>
      </c>
      <c r="AJ10" s="83">
        <f>11.9*8.4*8.4*0.52</f>
        <v>436.62528000000009</v>
      </c>
      <c r="AK10" s="83">
        <f>10.3*8.1*8.1*0.52</f>
        <v>351.40716000000003</v>
      </c>
      <c r="AL10" s="83">
        <f>12.9*9.1*9.1*0.52</f>
        <v>555.48948000000007</v>
      </c>
      <c r="AM10" s="83">
        <f>13.3*10.8*10.8*0.52</f>
        <v>806.68224000000021</v>
      </c>
      <c r="AN10" s="83">
        <f>13.8*10.4*10.4*0.52</f>
        <v>776.15616000000011</v>
      </c>
      <c r="AO10" s="83">
        <f>14.5*11*11*0.52</f>
        <v>912.34</v>
      </c>
      <c r="AP10" s="83">
        <f>14.5*11.9*11.9*0.52</f>
        <v>1067.7394000000002</v>
      </c>
      <c r="AQ10" s="83">
        <f>15.7*12.3*12.3*0.52</f>
        <v>1235.13156</v>
      </c>
      <c r="AR10" s="83">
        <f>15.7*12.6*12.6*0.52</f>
        <v>1296.11664</v>
      </c>
      <c r="AS10" s="83">
        <f>16.7*13.9*13.9*0.52</f>
        <v>1677.83564</v>
      </c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36"/>
      <c r="BR10" s="230">
        <f t="shared" si="41"/>
        <v>0.7037037037037035</v>
      </c>
      <c r="BS10" s="230">
        <f t="shared" si="42"/>
        <v>0.80375514403292159</v>
      </c>
      <c r="BT10" s="230">
        <f t="shared" si="43"/>
        <v>1</v>
      </c>
      <c r="BU10" s="230">
        <f t="shared" si="44"/>
        <v>1.1138224451303151</v>
      </c>
      <c r="BV10" s="230">
        <f t="shared" si="45"/>
        <v>1.3956940157750339</v>
      </c>
      <c r="BW10" s="230">
        <f t="shared" si="46"/>
        <v>1.7272376543209869</v>
      </c>
      <c r="BX10" s="230">
        <f t="shared" si="47"/>
        <v>1.6684027777777775</v>
      </c>
      <c r="BY10" s="230">
        <f t="shared" si="48"/>
        <v>1.6396604938271602</v>
      </c>
      <c r="BZ10" s="230">
        <f t="shared" si="49"/>
        <v>2.3813175154320985</v>
      </c>
      <c r="CA10" s="230">
        <f t="shared" si="50"/>
        <v>2.2842721193415629</v>
      </c>
      <c r="CB10" s="230">
        <f t="shared" si="51"/>
        <v>3.8468364197530862</v>
      </c>
      <c r="CC10" s="230">
        <f t="shared" si="52"/>
        <v>4.3858024691358022</v>
      </c>
      <c r="CD10" s="230">
        <f t="shared" si="53"/>
        <v>4.684418938614539</v>
      </c>
      <c r="CE10" s="230">
        <f t="shared" si="54"/>
        <v>4.4992283950617287</v>
      </c>
      <c r="CF10" s="230">
        <f t="shared" si="55"/>
        <v>3.6210937499999996</v>
      </c>
      <c r="CG10" s="230">
        <f t="shared" si="56"/>
        <v>5.724070859053497</v>
      </c>
      <c r="CH10" s="230">
        <f t="shared" si="57"/>
        <v>8.3125</v>
      </c>
      <c r="CI10" s="230">
        <f t="shared" si="58"/>
        <v>7.9979423868312756</v>
      </c>
      <c r="CJ10" s="230">
        <f t="shared" si="59"/>
        <v>9.4012560013717401</v>
      </c>
      <c r="CK10" s="230">
        <f t="shared" si="60"/>
        <v>11.002577374828531</v>
      </c>
      <c r="CL10" s="230">
        <f t="shared" si="61"/>
        <v>12.727478780864194</v>
      </c>
      <c r="CM10" s="230">
        <f t="shared" si="62"/>
        <v>13.355902777777775</v>
      </c>
      <c r="CN10" s="230">
        <f t="shared" si="63"/>
        <v>17.289346493484221</v>
      </c>
      <c r="CO10" s="230" t="str">
        <f t="shared" si="64"/>
        <v/>
      </c>
      <c r="CP10" s="230" t="str">
        <f t="shared" si="65"/>
        <v/>
      </c>
      <c r="CQ10" s="230" t="str">
        <f t="shared" si="66"/>
        <v/>
      </c>
      <c r="CR10" s="230" t="str">
        <f t="shared" si="67"/>
        <v/>
      </c>
      <c r="CS10" s="230" t="str">
        <f t="shared" si="68"/>
        <v/>
      </c>
      <c r="CT10" s="230" t="str">
        <f t="shared" si="69"/>
        <v/>
      </c>
      <c r="CU10" s="230" t="str">
        <f t="shared" si="70"/>
        <v/>
      </c>
      <c r="CV10" s="230" t="str">
        <f t="shared" si="71"/>
        <v/>
      </c>
      <c r="CW10" s="230" t="str">
        <f t="shared" si="72"/>
        <v/>
      </c>
      <c r="CX10" s="230" t="str">
        <f t="shared" si="73"/>
        <v/>
      </c>
      <c r="CY10" s="230" t="str">
        <f t="shared" si="74"/>
        <v/>
      </c>
      <c r="CZ10" s="230" t="str">
        <f t="shared" si="75"/>
        <v/>
      </c>
      <c r="DA10" s="230" t="str">
        <f t="shared" si="76"/>
        <v/>
      </c>
      <c r="DB10" s="230" t="str">
        <f t="shared" si="77"/>
        <v/>
      </c>
      <c r="DC10" s="230" t="str">
        <f t="shared" si="78"/>
        <v/>
      </c>
      <c r="DD10" s="230" t="str">
        <f t="shared" si="79"/>
        <v/>
      </c>
      <c r="DE10" s="230" t="str">
        <f t="shared" si="80"/>
        <v/>
      </c>
      <c r="DF10" s="230" t="str">
        <f t="shared" si="81"/>
        <v/>
      </c>
      <c r="DG10" s="230" t="str">
        <f t="shared" si="82"/>
        <v/>
      </c>
      <c r="DH10" s="230" t="str">
        <f t="shared" si="83"/>
        <v/>
      </c>
      <c r="DI10" s="230" t="str">
        <f t="shared" si="84"/>
        <v/>
      </c>
      <c r="DJ10" s="230" t="str">
        <f t="shared" si="85"/>
        <v/>
      </c>
      <c r="DK10" s="230" t="str">
        <f t="shared" si="86"/>
        <v/>
      </c>
    </row>
    <row r="11" spans="1:115">
      <c r="A11" s="37">
        <v>1066024</v>
      </c>
      <c r="B11" s="1">
        <v>71</v>
      </c>
      <c r="C11" s="27" t="str">
        <f t="shared" si="35"/>
        <v>1066024-71</v>
      </c>
      <c r="D11" s="25" t="s">
        <v>56</v>
      </c>
      <c r="E11" s="34" t="s">
        <v>62</v>
      </c>
      <c r="F11" s="29">
        <v>42850</v>
      </c>
      <c r="G11" s="210" t="s">
        <v>67</v>
      </c>
      <c r="H11" s="83">
        <v>27.1</v>
      </c>
      <c r="I11" s="29">
        <v>42861</v>
      </c>
      <c r="J11" s="35">
        <v>28.2</v>
      </c>
      <c r="K11" s="35">
        <v>7.2</v>
      </c>
      <c r="L11" s="35">
        <v>4.5</v>
      </c>
      <c r="M11" s="35">
        <f t="shared" si="36"/>
        <v>75.816000000000003</v>
      </c>
      <c r="N11" s="30">
        <f t="shared" si="37"/>
        <v>758.16000000000008</v>
      </c>
      <c r="O11" s="30">
        <f t="shared" si="38"/>
        <v>25.272000000000002</v>
      </c>
      <c r="P11" s="35">
        <v>0</v>
      </c>
      <c r="Q11" s="140">
        <f t="shared" si="39"/>
        <v>0</v>
      </c>
      <c r="R11" s="142">
        <f t="shared" si="40"/>
        <v>0</v>
      </c>
      <c r="S11" s="238"/>
      <c r="T11" s="239"/>
      <c r="U11" s="31"/>
      <c r="V11" s="121"/>
      <c r="W11" s="78">
        <f>6.3*5*5*0.52</f>
        <v>81.900000000000006</v>
      </c>
      <c r="X11" s="83">
        <v>63.2</v>
      </c>
      <c r="Y11" s="83">
        <v>75.816000000000003</v>
      </c>
      <c r="Z11" s="83">
        <f>7.5*4.8*4.8*0.52</f>
        <v>89.855999999999995</v>
      </c>
      <c r="AA11" s="83">
        <f>6.7*5.8*5.8*0.52</f>
        <v>117.20175999999999</v>
      </c>
      <c r="AB11" s="83">
        <f>7.1*5.3*5.3*0.52</f>
        <v>103.70827999999999</v>
      </c>
      <c r="AC11" s="83">
        <f>7.4*5.9*5.9*0.52</f>
        <v>133.94888000000003</v>
      </c>
      <c r="AD11" s="83">
        <f>8.2*6.2*6.2*0.52</f>
        <v>163.90815999999998</v>
      </c>
      <c r="AE11" s="83">
        <f>8.3*5.6*5.6*0.52</f>
        <v>135.34976</v>
      </c>
      <c r="AF11" s="83">
        <f>10.2*6.7*6.7*0.52</f>
        <v>238.09656000000004</v>
      </c>
      <c r="AG11" s="83">
        <f>11.4*7.3*7.3*0.52</f>
        <v>315.90312</v>
      </c>
      <c r="AH11" s="83">
        <f>10.9*6.9*6.9*0.52</f>
        <v>269.85348000000005</v>
      </c>
      <c r="AI11" s="83">
        <f>12.2*9.4*9.4*0.52</f>
        <v>560.55583999999999</v>
      </c>
      <c r="AJ11" s="83">
        <f>10.9*9.9*9.9*0.52</f>
        <v>555.52068000000008</v>
      </c>
      <c r="AK11" s="83">
        <f>13*9.1*9.1*0.52</f>
        <v>559.79560000000004</v>
      </c>
      <c r="AL11" s="83">
        <f>14.1*10.4*10.4*0.52</f>
        <v>793.02912000000015</v>
      </c>
      <c r="AM11" s="83">
        <f>14.1*10.9*10.9*0.52</f>
        <v>871.11491999999998</v>
      </c>
      <c r="AN11" s="83">
        <f>15.6*11.4*11.4*0.52</f>
        <v>1054.2355200000002</v>
      </c>
      <c r="AO11" s="83">
        <f>15.4*12.4*12.4*0.52</f>
        <v>1231.31008</v>
      </c>
      <c r="AP11" s="83">
        <f>15.4*13.6*13.6*0.52</f>
        <v>1481.15968</v>
      </c>
      <c r="AQ11" s="83">
        <f>16.7*13.8*13.8*0.52</f>
        <v>1653.7809600000003</v>
      </c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36"/>
      <c r="BR11" s="230">
        <f t="shared" si="41"/>
        <v>1.080246913580247</v>
      </c>
      <c r="BS11" s="230">
        <f t="shared" si="42"/>
        <v>0.83359712989342616</v>
      </c>
      <c r="BT11" s="230">
        <f t="shared" si="43"/>
        <v>1</v>
      </c>
      <c r="BU11" s="230">
        <f t="shared" si="44"/>
        <v>1.1851851851851851</v>
      </c>
      <c r="BV11" s="230">
        <f t="shared" si="45"/>
        <v>1.5458710562414264</v>
      </c>
      <c r="BW11" s="230">
        <f t="shared" si="46"/>
        <v>1.3678943758573385</v>
      </c>
      <c r="BX11" s="230">
        <f t="shared" si="47"/>
        <v>1.7667626886145409</v>
      </c>
      <c r="BY11" s="230">
        <f t="shared" si="48"/>
        <v>2.1619204389574755</v>
      </c>
      <c r="BZ11" s="230">
        <f t="shared" si="49"/>
        <v>1.7852400548696845</v>
      </c>
      <c r="CA11" s="230">
        <f t="shared" si="50"/>
        <v>3.1404526748971198</v>
      </c>
      <c r="CB11" s="230">
        <f t="shared" si="51"/>
        <v>4.1667078189300408</v>
      </c>
      <c r="CC11" s="230">
        <f t="shared" si="52"/>
        <v>3.5593209876543215</v>
      </c>
      <c r="CD11" s="230">
        <f t="shared" si="53"/>
        <v>7.3936351165980794</v>
      </c>
      <c r="CE11" s="230">
        <f t="shared" si="54"/>
        <v>7.3272222222222227</v>
      </c>
      <c r="CF11" s="230">
        <f t="shared" si="55"/>
        <v>7.38360768175583</v>
      </c>
      <c r="CG11" s="230">
        <f t="shared" si="56"/>
        <v>10.459917695473253</v>
      </c>
      <c r="CH11" s="230">
        <f t="shared" si="57"/>
        <v>11.489855967078189</v>
      </c>
      <c r="CI11" s="230">
        <f t="shared" si="58"/>
        <v>13.905185185185188</v>
      </c>
      <c r="CJ11" s="230">
        <f t="shared" si="59"/>
        <v>16.240768175582989</v>
      </c>
      <c r="CK11" s="230">
        <f t="shared" si="60"/>
        <v>19.536241426611795</v>
      </c>
      <c r="CL11" s="230">
        <f t="shared" si="61"/>
        <v>21.813086419753088</v>
      </c>
      <c r="CM11" s="230" t="str">
        <f t="shared" si="62"/>
        <v/>
      </c>
      <c r="CN11" s="230" t="str">
        <f t="shared" si="63"/>
        <v/>
      </c>
      <c r="CO11" s="230" t="str">
        <f t="shared" si="64"/>
        <v/>
      </c>
      <c r="CP11" s="230" t="str">
        <f t="shared" si="65"/>
        <v/>
      </c>
      <c r="CQ11" s="230" t="str">
        <f t="shared" si="66"/>
        <v/>
      </c>
      <c r="CR11" s="230" t="str">
        <f t="shared" si="67"/>
        <v/>
      </c>
      <c r="CS11" s="230" t="str">
        <f t="shared" si="68"/>
        <v/>
      </c>
      <c r="CT11" s="230" t="str">
        <f t="shared" si="69"/>
        <v/>
      </c>
      <c r="CU11" s="230" t="str">
        <f t="shared" si="70"/>
        <v/>
      </c>
      <c r="CV11" s="230" t="str">
        <f t="shared" si="71"/>
        <v/>
      </c>
      <c r="CW11" s="230" t="str">
        <f t="shared" si="72"/>
        <v/>
      </c>
      <c r="CX11" s="230" t="str">
        <f t="shared" si="73"/>
        <v/>
      </c>
      <c r="CY11" s="230" t="str">
        <f t="shared" si="74"/>
        <v/>
      </c>
      <c r="CZ11" s="230" t="str">
        <f t="shared" si="75"/>
        <v/>
      </c>
      <c r="DA11" s="230" t="str">
        <f t="shared" si="76"/>
        <v/>
      </c>
      <c r="DB11" s="230" t="str">
        <f t="shared" si="77"/>
        <v/>
      </c>
      <c r="DC11" s="230" t="str">
        <f t="shared" si="78"/>
        <v/>
      </c>
      <c r="DD11" s="230" t="str">
        <f t="shared" si="79"/>
        <v/>
      </c>
      <c r="DE11" s="230" t="str">
        <f t="shared" si="80"/>
        <v/>
      </c>
      <c r="DF11" s="230" t="str">
        <f t="shared" si="81"/>
        <v/>
      </c>
      <c r="DG11" s="230" t="str">
        <f t="shared" si="82"/>
        <v/>
      </c>
      <c r="DH11" s="230" t="str">
        <f t="shared" si="83"/>
        <v/>
      </c>
      <c r="DI11" s="230" t="str">
        <f t="shared" si="84"/>
        <v/>
      </c>
      <c r="DJ11" s="230" t="str">
        <f t="shared" si="85"/>
        <v/>
      </c>
      <c r="DK11" s="230" t="str">
        <f t="shared" si="86"/>
        <v/>
      </c>
    </row>
    <row r="12" spans="1:115">
      <c r="A12" s="37">
        <v>1066024</v>
      </c>
      <c r="B12" s="1">
        <v>72</v>
      </c>
      <c r="C12" s="27" t="str">
        <f t="shared" si="35"/>
        <v>1066024-72</v>
      </c>
      <c r="D12" s="25" t="s">
        <v>56</v>
      </c>
      <c r="E12" s="34" t="s">
        <v>62</v>
      </c>
      <c r="F12" s="29">
        <v>42850</v>
      </c>
      <c r="G12" s="210" t="s">
        <v>67</v>
      </c>
      <c r="H12" s="83">
        <v>26.9</v>
      </c>
      <c r="I12" s="29">
        <v>42861</v>
      </c>
      <c r="J12" s="35">
        <v>28.1</v>
      </c>
      <c r="K12" s="35">
        <v>6.5</v>
      </c>
      <c r="L12" s="35">
        <v>5.5</v>
      </c>
      <c r="M12" s="35">
        <f t="shared" si="36"/>
        <v>102.245</v>
      </c>
      <c r="N12" s="30">
        <f t="shared" si="37"/>
        <v>1022.45</v>
      </c>
      <c r="O12" s="30">
        <f t="shared" si="38"/>
        <v>34.081666666666671</v>
      </c>
      <c r="P12" s="35">
        <v>0</v>
      </c>
      <c r="Q12" s="140">
        <f t="shared" si="39"/>
        <v>0</v>
      </c>
      <c r="R12" s="142">
        <f t="shared" si="40"/>
        <v>0</v>
      </c>
      <c r="S12" s="238"/>
      <c r="T12" s="239"/>
      <c r="U12" s="31"/>
      <c r="V12" s="121"/>
      <c r="W12" s="78">
        <f>5.9*5*5*0.52</f>
        <v>76.7</v>
      </c>
      <c r="X12" s="83">
        <v>93.5</v>
      </c>
      <c r="Y12" s="83">
        <v>102.245</v>
      </c>
      <c r="Z12" s="83">
        <f>7.2*5.6*5.6*0.52</f>
        <v>117.41183999999998</v>
      </c>
      <c r="AA12" s="83">
        <f>7.1*5.5*5.5*0.52</f>
        <v>111.68299999999999</v>
      </c>
      <c r="AB12" s="83">
        <f>7.4*5.5*5.5*0.52</f>
        <v>116.40200000000002</v>
      </c>
      <c r="AC12" s="83">
        <f>7.2*5.9*5.9*0.52</f>
        <v>130.32864000000004</v>
      </c>
      <c r="AD12" s="83">
        <f>8.3*6.2*6.2*0.52</f>
        <v>165.90704000000005</v>
      </c>
      <c r="AE12" s="83">
        <f>8.5*6.2*6.2*0.52</f>
        <v>169.90480000000002</v>
      </c>
      <c r="AF12" s="83">
        <f>10.2*6.9*6.9*0.52</f>
        <v>252.52344000000002</v>
      </c>
      <c r="AG12" s="83">
        <f>10*7.5*7.5*0.52</f>
        <v>292.5</v>
      </c>
      <c r="AH12" s="83">
        <f>12.2*8.1*8.1*0.52</f>
        <v>416.22983999999997</v>
      </c>
      <c r="AI12" s="83">
        <f>12.8*8.3*8.3*0.52</f>
        <v>458.5318400000001</v>
      </c>
      <c r="AJ12" s="83">
        <f>13.2*8.7*8.7*0.52</f>
        <v>519.53615999999988</v>
      </c>
      <c r="AK12" s="83">
        <f>10.5*7.8*7.8*0.52</f>
        <v>332.18639999999999</v>
      </c>
      <c r="AL12" s="83">
        <f>13.6*9.9*9.9*0.52</f>
        <v>693.12672000000009</v>
      </c>
      <c r="AM12" s="83">
        <f>14.7*9.7*9.7*0.52</f>
        <v>719.22395999999981</v>
      </c>
      <c r="AN12" s="83">
        <f>15.3*10.8*10.8*0.52</f>
        <v>927.98784000000023</v>
      </c>
      <c r="AO12" s="83">
        <f>16.4*11.7*11.7*0.52</f>
        <v>1167.3979199999999</v>
      </c>
      <c r="AP12" s="83">
        <f>16.7*12.2*12.2*0.52</f>
        <v>1292.5265599999998</v>
      </c>
      <c r="AQ12" s="83">
        <f>16.8*12.4*12.4*0.52</f>
        <v>1343.2473600000001</v>
      </c>
      <c r="AR12" s="83">
        <f>17.1*13.8*13.8*0.52</f>
        <v>1693.3924800000002</v>
      </c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36"/>
      <c r="BR12" s="230">
        <f t="shared" si="41"/>
        <v>0.75015893197711381</v>
      </c>
      <c r="BS12" s="230">
        <f t="shared" si="42"/>
        <v>0.91447014523937598</v>
      </c>
      <c r="BT12" s="230">
        <f t="shared" si="43"/>
        <v>1</v>
      </c>
      <c r="BU12" s="230">
        <f t="shared" si="44"/>
        <v>1.1483382072472978</v>
      </c>
      <c r="BV12" s="230">
        <f t="shared" si="45"/>
        <v>1.0923076923076922</v>
      </c>
      <c r="BW12" s="230">
        <f t="shared" si="46"/>
        <v>1.1384615384615386</v>
      </c>
      <c r="BX12" s="230">
        <f t="shared" si="47"/>
        <v>1.2746700572155121</v>
      </c>
      <c r="BY12" s="230">
        <f t="shared" si="48"/>
        <v>1.6226420851875403</v>
      </c>
      <c r="BZ12" s="230">
        <f t="shared" si="49"/>
        <v>1.6617418944691673</v>
      </c>
      <c r="CA12" s="230">
        <f t="shared" si="50"/>
        <v>2.4697876668785761</v>
      </c>
      <c r="CB12" s="230">
        <f t="shared" si="51"/>
        <v>2.8607755880483152</v>
      </c>
      <c r="CC12" s="230">
        <f t="shared" si="52"/>
        <v>4.0709065479974562</v>
      </c>
      <c r="CD12" s="230">
        <f t="shared" si="53"/>
        <v>4.4846382708200894</v>
      </c>
      <c r="CE12" s="230">
        <f t="shared" si="54"/>
        <v>5.0812867132867119</v>
      </c>
      <c r="CF12" s="230">
        <f t="shared" si="55"/>
        <v>3.2489256198347105</v>
      </c>
      <c r="CG12" s="230">
        <f t="shared" si="56"/>
        <v>6.7790769230769241</v>
      </c>
      <c r="CH12" s="230">
        <f t="shared" si="57"/>
        <v>7.0343191354100423</v>
      </c>
      <c r="CI12" s="230">
        <f t="shared" si="58"/>
        <v>9.0761195168467914</v>
      </c>
      <c r="CJ12" s="230">
        <f t="shared" si="59"/>
        <v>11.417652892561982</v>
      </c>
      <c r="CK12" s="230">
        <f t="shared" si="60"/>
        <v>12.641464717101078</v>
      </c>
      <c r="CL12" s="230">
        <f t="shared" si="61"/>
        <v>13.137535918626828</v>
      </c>
      <c r="CM12" s="230">
        <f t="shared" si="62"/>
        <v>16.562105530832806</v>
      </c>
      <c r="CN12" s="230" t="str">
        <f t="shared" si="63"/>
        <v/>
      </c>
      <c r="CO12" s="230" t="str">
        <f t="shared" si="64"/>
        <v/>
      </c>
      <c r="CP12" s="230" t="str">
        <f t="shared" si="65"/>
        <v/>
      </c>
      <c r="CQ12" s="230" t="str">
        <f t="shared" si="66"/>
        <v/>
      </c>
      <c r="CR12" s="230" t="str">
        <f t="shared" si="67"/>
        <v/>
      </c>
      <c r="CS12" s="230" t="str">
        <f t="shared" si="68"/>
        <v/>
      </c>
      <c r="CT12" s="230" t="str">
        <f t="shared" si="69"/>
        <v/>
      </c>
      <c r="CU12" s="230" t="str">
        <f t="shared" si="70"/>
        <v/>
      </c>
      <c r="CV12" s="230" t="str">
        <f t="shared" si="71"/>
        <v/>
      </c>
      <c r="CW12" s="230" t="str">
        <f t="shared" si="72"/>
        <v/>
      </c>
      <c r="CX12" s="230" t="str">
        <f t="shared" si="73"/>
        <v/>
      </c>
      <c r="CY12" s="230" t="str">
        <f t="shared" si="74"/>
        <v/>
      </c>
      <c r="CZ12" s="230" t="str">
        <f t="shared" si="75"/>
        <v/>
      </c>
      <c r="DA12" s="230" t="str">
        <f t="shared" si="76"/>
        <v/>
      </c>
      <c r="DB12" s="230" t="str">
        <f t="shared" si="77"/>
        <v/>
      </c>
      <c r="DC12" s="230" t="str">
        <f t="shared" si="78"/>
        <v/>
      </c>
      <c r="DD12" s="230" t="str">
        <f t="shared" si="79"/>
        <v/>
      </c>
      <c r="DE12" s="230" t="str">
        <f t="shared" si="80"/>
        <v/>
      </c>
      <c r="DF12" s="230" t="str">
        <f t="shared" si="81"/>
        <v/>
      </c>
      <c r="DG12" s="230" t="str">
        <f t="shared" si="82"/>
        <v/>
      </c>
      <c r="DH12" s="230" t="str">
        <f t="shared" si="83"/>
        <v/>
      </c>
      <c r="DI12" s="230" t="str">
        <f t="shared" si="84"/>
        <v/>
      </c>
      <c r="DJ12" s="230" t="str">
        <f t="shared" si="85"/>
        <v/>
      </c>
      <c r="DK12" s="230" t="str">
        <f t="shared" si="86"/>
        <v/>
      </c>
    </row>
    <row r="13" spans="1:115">
      <c r="A13" s="37">
        <v>1066024</v>
      </c>
      <c r="B13" s="1">
        <v>73</v>
      </c>
      <c r="C13" s="27" t="str">
        <f t="shared" si="35"/>
        <v>1066024-73</v>
      </c>
      <c r="D13" s="25" t="s">
        <v>56</v>
      </c>
      <c r="E13" s="34" t="s">
        <v>63</v>
      </c>
      <c r="F13" s="29">
        <v>42850</v>
      </c>
      <c r="G13" s="210" t="s">
        <v>67</v>
      </c>
      <c r="H13" s="83">
        <v>27.1</v>
      </c>
      <c r="I13" s="29">
        <v>42861</v>
      </c>
      <c r="J13" s="35">
        <v>27.1</v>
      </c>
      <c r="K13" s="35">
        <v>7.5</v>
      </c>
      <c r="L13" s="35">
        <v>5.5</v>
      </c>
      <c r="M13" s="35">
        <f t="shared" si="36"/>
        <v>117.97500000000001</v>
      </c>
      <c r="N13" s="30">
        <f t="shared" si="37"/>
        <v>1179.75</v>
      </c>
      <c r="O13" s="30">
        <f t="shared" si="38"/>
        <v>39.325000000000003</v>
      </c>
      <c r="P13" s="35">
        <v>827</v>
      </c>
      <c r="Q13" s="140">
        <f t="shared" ref="Q13:Q30" si="87">P13/M13</f>
        <v>7.0099597372324638</v>
      </c>
      <c r="R13" s="142">
        <f t="shared" si="40"/>
        <v>0.7009959737232464</v>
      </c>
      <c r="S13" s="238">
        <v>100</v>
      </c>
      <c r="T13" s="239"/>
      <c r="U13" s="31"/>
      <c r="V13" s="121"/>
      <c r="W13" s="78">
        <f>7*4.8*4.8*0.52</f>
        <v>83.865600000000001</v>
      </c>
      <c r="X13" s="83">
        <v>87.2</v>
      </c>
      <c r="Y13" s="83">
        <v>117.97500000000001</v>
      </c>
      <c r="Z13" s="83">
        <f>8.3*6.3*6.3*0.52</f>
        <v>171.30204000000001</v>
      </c>
      <c r="AA13" s="83">
        <f>7.7*6.2*6.2*0.52</f>
        <v>153.91376</v>
      </c>
      <c r="AB13" s="83">
        <f>7.8*5.8*5.8*0.52</f>
        <v>136.44383999999997</v>
      </c>
      <c r="AC13" s="83">
        <f>6.9*5*5*0.52</f>
        <v>89.7</v>
      </c>
      <c r="AD13" s="83">
        <f>7.6*5.5*5.5*0.52</f>
        <v>119.54799999999999</v>
      </c>
      <c r="AE13" s="83">
        <f>7.1*5.3*5.3*0.52</f>
        <v>103.70827999999999</v>
      </c>
      <c r="AF13" s="83">
        <f>6.5*4.5*4.5*0.52</f>
        <v>68.445000000000007</v>
      </c>
      <c r="AG13" s="83">
        <f>6*4.3*4.3*0.52</f>
        <v>57.688799999999993</v>
      </c>
      <c r="AH13" s="83">
        <f>6.7*4.9*4.9*0.52</f>
        <v>83.650840000000031</v>
      </c>
      <c r="AI13" s="83">
        <f>4.2*3.9*3.9*0.52</f>
        <v>33.218640000000001</v>
      </c>
      <c r="AJ13" s="83">
        <f>5.2*4.1*4.1*0.52</f>
        <v>45.454239999999999</v>
      </c>
      <c r="AK13" s="83">
        <f>5*3.6*3.6*0.52</f>
        <v>33.695999999999998</v>
      </c>
      <c r="AL13" s="83">
        <f>5.9*3.8*3.8*0.52</f>
        <v>44.301920000000003</v>
      </c>
      <c r="AM13" s="83">
        <f>3.3*2.7*2.7*0.52</f>
        <v>12.509640000000001</v>
      </c>
      <c r="AN13" s="83">
        <f>4.9*3.8*3.8*0.52</f>
        <v>36.793120000000002</v>
      </c>
      <c r="AO13" s="83">
        <f>4*3.1*3.1*0.52</f>
        <v>19.988800000000005</v>
      </c>
      <c r="AP13" s="83">
        <f>4.8*3.8*3.8*0.52</f>
        <v>36.04224</v>
      </c>
      <c r="AQ13" s="83">
        <f>4.4*4.1*4.1*0.52</f>
        <v>38.461279999999995</v>
      </c>
      <c r="AR13" s="83">
        <f>4.7*4.8*4.8*0.52</f>
        <v>56.309759999999997</v>
      </c>
      <c r="AS13" s="83">
        <f>5.2*4.7*4.7*0.52</f>
        <v>59.731360000000009</v>
      </c>
      <c r="AT13" s="83">
        <f>6*4.8*4.8*0.52</f>
        <v>71.884799999999998</v>
      </c>
      <c r="AU13" s="83">
        <f>5.9*4.9*4.9*0.52</f>
        <v>73.662680000000009</v>
      </c>
      <c r="AV13" s="83">
        <f>6.3*4.9*4.9*0.52</f>
        <v>78.656760000000006</v>
      </c>
      <c r="AW13" s="83">
        <f>6.1*5.4*5.4*0.52</f>
        <v>92.495519999999999</v>
      </c>
      <c r="AX13" s="83">
        <f>6.8*5.8*5.8*0.52</f>
        <v>118.95103999999999</v>
      </c>
      <c r="AY13" s="83">
        <f>6.8*5.5*5.5*0.52</f>
        <v>106.964</v>
      </c>
      <c r="AZ13" s="83">
        <f>7.2*5.7*5.7*0.52</f>
        <v>121.64256</v>
      </c>
      <c r="BA13" s="83">
        <f>6.2*6*6*0.52</f>
        <v>116.06400000000001</v>
      </c>
      <c r="BB13" s="83">
        <f>8.2*6.1*6.1*0.52</f>
        <v>158.66343999999998</v>
      </c>
      <c r="BC13" s="83">
        <f>7.6*6.7*6.7*0.52</f>
        <v>177.40528000000003</v>
      </c>
      <c r="BD13" s="83">
        <f>8.3*6.9*6.9*0.52</f>
        <v>205.48476000000005</v>
      </c>
      <c r="BE13" s="83">
        <f>7*6.2*6.2*0.52</f>
        <v>139.92159999999998</v>
      </c>
      <c r="BF13" s="83">
        <f>9.4*7.6*7.6*0.52</f>
        <v>282.33087999999998</v>
      </c>
      <c r="BG13" s="83">
        <f>9.3*6.8*6.8*0.52</f>
        <v>223.61663999999999</v>
      </c>
      <c r="BH13" s="83">
        <f>9.4*8*8*0.52</f>
        <v>312.83200000000005</v>
      </c>
      <c r="BI13" s="83">
        <f>9.9*7.9*7.9*0.52</f>
        <v>321.28668000000005</v>
      </c>
      <c r="BJ13" s="83">
        <f>10.2*7.8*7.8*0.52</f>
        <v>322.69535999999994</v>
      </c>
      <c r="BK13" s="83">
        <f>10.9*8.4*8.4*0.52</f>
        <v>399.93408000000005</v>
      </c>
      <c r="BL13" s="83">
        <f>11.7*9.9*9.9*0.52</f>
        <v>596.29284000000007</v>
      </c>
      <c r="BM13" s="83">
        <f>12.1*9.7*9.7*0.52</f>
        <v>592.01427999999987</v>
      </c>
      <c r="BN13" s="83">
        <f>12.4*10*10*0.52</f>
        <v>644.80000000000007</v>
      </c>
      <c r="BO13" s="83"/>
      <c r="BP13" s="83"/>
      <c r="BQ13" s="36"/>
      <c r="BR13" s="230">
        <f t="shared" si="41"/>
        <v>0.71087603305785119</v>
      </c>
      <c r="BS13" s="230">
        <f t="shared" si="42"/>
        <v>0.73913964823055733</v>
      </c>
      <c r="BT13" s="230">
        <f t="shared" si="43"/>
        <v>1</v>
      </c>
      <c r="BU13" s="230">
        <f t="shared" si="44"/>
        <v>1.4520198347107438</v>
      </c>
      <c r="BV13" s="230">
        <f t="shared" si="45"/>
        <v>1.3046303030303028</v>
      </c>
      <c r="BW13" s="230">
        <f t="shared" si="46"/>
        <v>1.1565487603305782</v>
      </c>
      <c r="BX13" s="230">
        <f t="shared" si="47"/>
        <v>0.76033057851239672</v>
      </c>
      <c r="BY13" s="230">
        <f t="shared" si="48"/>
        <v>1.0133333333333332</v>
      </c>
      <c r="BZ13" s="230">
        <f t="shared" si="49"/>
        <v>0.87906997245179042</v>
      </c>
      <c r="CA13" s="230">
        <f t="shared" si="50"/>
        <v>0.58016528925619837</v>
      </c>
      <c r="CB13" s="230">
        <f t="shared" si="51"/>
        <v>0.48899173553719</v>
      </c>
      <c r="CC13" s="230">
        <f t="shared" si="52"/>
        <v>0.70905564738292037</v>
      </c>
      <c r="CD13" s="230">
        <f t="shared" si="53"/>
        <v>0.28157355371900827</v>
      </c>
      <c r="CE13" s="230">
        <f t="shared" si="54"/>
        <v>0.38528705234159777</v>
      </c>
      <c r="CF13" s="230">
        <f t="shared" si="55"/>
        <v>0.28561983471074376</v>
      </c>
      <c r="CG13" s="230">
        <f t="shared" si="56"/>
        <v>0.37551955922865016</v>
      </c>
      <c r="CH13" s="230">
        <f t="shared" si="57"/>
        <v>0.10603636363636364</v>
      </c>
      <c r="CI13" s="230">
        <f t="shared" si="58"/>
        <v>0.31187217630853992</v>
      </c>
      <c r="CJ13" s="230">
        <f t="shared" si="59"/>
        <v>0.16943250688705236</v>
      </c>
      <c r="CK13" s="230">
        <f t="shared" si="60"/>
        <v>0.30550743801652891</v>
      </c>
      <c r="CL13" s="230">
        <f t="shared" si="61"/>
        <v>0.32601212121212114</v>
      </c>
      <c r="CM13" s="230">
        <f t="shared" si="62"/>
        <v>0.4773024793388429</v>
      </c>
      <c r="CN13" s="230">
        <f t="shared" si="63"/>
        <v>0.50630523415977968</v>
      </c>
      <c r="CO13" s="230">
        <f t="shared" si="64"/>
        <v>0.6093223140495867</v>
      </c>
      <c r="CP13" s="230">
        <f t="shared" si="65"/>
        <v>0.62439228650137746</v>
      </c>
      <c r="CQ13" s="230">
        <f t="shared" si="66"/>
        <v>0.66672396694214875</v>
      </c>
      <c r="CR13" s="230">
        <f t="shared" si="67"/>
        <v>0.78402644628099172</v>
      </c>
      <c r="CS13" s="230">
        <f t="shared" si="68"/>
        <v>1.0082732782369144</v>
      </c>
      <c r="CT13" s="230">
        <f t="shared" si="69"/>
        <v>0.90666666666666662</v>
      </c>
      <c r="CU13" s="230">
        <f t="shared" si="70"/>
        <v>1.031087603305785</v>
      </c>
      <c r="CV13" s="230">
        <f t="shared" si="71"/>
        <v>0.98380165289256194</v>
      </c>
      <c r="CW13" s="230">
        <f t="shared" si="72"/>
        <v>1.3448903581267215</v>
      </c>
      <c r="CX13" s="230">
        <f t="shared" si="73"/>
        <v>1.5037531680440772</v>
      </c>
      <c r="CY13" s="230">
        <f t="shared" si="74"/>
        <v>1.7417652892561986</v>
      </c>
      <c r="CZ13" s="230">
        <f t="shared" si="75"/>
        <v>1.1860275482093661</v>
      </c>
      <c r="DA13" s="230">
        <f t="shared" si="76"/>
        <v>2.3931415977961428</v>
      </c>
      <c r="DB13" s="230">
        <f t="shared" si="77"/>
        <v>1.8954578512396691</v>
      </c>
      <c r="DC13" s="230">
        <f t="shared" si="78"/>
        <v>2.6516804407713499</v>
      </c>
      <c r="DD13" s="230">
        <f t="shared" si="79"/>
        <v>2.7233454545454547</v>
      </c>
      <c r="DE13" s="230">
        <f t="shared" si="80"/>
        <v>2.7352859504132225</v>
      </c>
      <c r="DF13" s="230">
        <f t="shared" si="81"/>
        <v>3.3899900826446281</v>
      </c>
      <c r="DG13" s="230">
        <f t="shared" si="82"/>
        <v>5.0544000000000002</v>
      </c>
      <c r="DH13" s="230">
        <f t="shared" si="83"/>
        <v>5.0181333333333322</v>
      </c>
      <c r="DI13" s="230">
        <f t="shared" si="84"/>
        <v>5.4655647382920112</v>
      </c>
      <c r="DJ13" s="230" t="str">
        <f t="shared" si="85"/>
        <v/>
      </c>
      <c r="DK13" s="230" t="str">
        <f t="shared" si="86"/>
        <v/>
      </c>
    </row>
    <row r="14" spans="1:115">
      <c r="A14" s="37">
        <v>1066024</v>
      </c>
      <c r="B14" s="1">
        <v>74</v>
      </c>
      <c r="C14" s="27" t="str">
        <f t="shared" ref="C14:C30" si="88">CONCATENATE(A14,"-",B14)</f>
        <v>1066024-74</v>
      </c>
      <c r="D14" s="25" t="s">
        <v>56</v>
      </c>
      <c r="E14" s="34" t="s">
        <v>62</v>
      </c>
      <c r="F14" s="29">
        <v>42850</v>
      </c>
      <c r="G14" s="210" t="s">
        <v>67</v>
      </c>
      <c r="H14" s="83">
        <v>29.4</v>
      </c>
      <c r="I14" s="29">
        <v>42861</v>
      </c>
      <c r="J14" s="35">
        <v>28.8</v>
      </c>
      <c r="K14" s="35">
        <v>8.1</v>
      </c>
      <c r="L14" s="35">
        <v>5.0999999999999996</v>
      </c>
      <c r="M14" s="35">
        <f t="shared" ref="M14:M30" si="89">IF(ISBLANK(K14)=TRUE,"",K14*L14^2*0.52)</f>
        <v>109.55412</v>
      </c>
      <c r="N14" s="30">
        <f t="shared" si="37"/>
        <v>1095.5411999999999</v>
      </c>
      <c r="O14" s="30">
        <f t="shared" si="38"/>
        <v>36.518039999999999</v>
      </c>
      <c r="P14" s="35">
        <v>0</v>
      </c>
      <c r="Q14" s="140">
        <f t="shared" si="87"/>
        <v>0</v>
      </c>
      <c r="R14" s="142">
        <f t="shared" ref="R14:R30" si="90">P14/N14</f>
        <v>0</v>
      </c>
      <c r="S14" s="238"/>
      <c r="T14" s="239"/>
      <c r="U14" s="31"/>
      <c r="V14" s="121"/>
      <c r="W14" s="78">
        <f>6.4*5.1*5.1*0.52</f>
        <v>86.561279999999996</v>
      </c>
      <c r="X14" s="83">
        <v>105.2</v>
      </c>
      <c r="Y14" s="83">
        <v>109.55412</v>
      </c>
      <c r="Z14" s="83">
        <f>8.1*6.5*6.5*0.52</f>
        <v>177.95699999999999</v>
      </c>
      <c r="AA14" s="83">
        <f>8.2*6.3*6.3*0.52</f>
        <v>169.23815999999999</v>
      </c>
      <c r="AB14" s="83">
        <f>8.6*6*6*0.52</f>
        <v>160.99199999999999</v>
      </c>
      <c r="AC14" s="83">
        <f>8.5*6*6*0.52</f>
        <v>159.12</v>
      </c>
      <c r="AD14" s="83">
        <f>9.9*6.7*6.7*0.52</f>
        <v>231.09372000000002</v>
      </c>
      <c r="AE14" s="83">
        <f>9.8*7*7*0.52</f>
        <v>249.70400000000004</v>
      </c>
      <c r="AF14" s="83">
        <f>8.9*6.8*6.8*0.52</f>
        <v>213.99872000000002</v>
      </c>
      <c r="AG14" s="83">
        <f>10.4*7*7*0.52</f>
        <v>264.99200000000002</v>
      </c>
      <c r="AH14" s="83">
        <f>11.8*8.3*8.3*0.52</f>
        <v>422.70904000000007</v>
      </c>
      <c r="AI14" s="83">
        <f>9.7*6*6*0.52</f>
        <v>181.584</v>
      </c>
      <c r="AJ14" s="83">
        <f>11.2*8.2*8.2*0.52</f>
        <v>391.60575999999992</v>
      </c>
      <c r="AK14" s="83">
        <f>9.1*7*7*0.52</f>
        <v>231.86799999999999</v>
      </c>
      <c r="AL14" s="83">
        <f>10.4*9*9*0.52</f>
        <v>438.04800000000006</v>
      </c>
      <c r="AM14" s="83">
        <f>10.7*8.9*8.9*0.52</f>
        <v>440.72444000000002</v>
      </c>
      <c r="AN14" s="83">
        <f>11.4*8.9*8.9*0.52</f>
        <v>469.55688000000009</v>
      </c>
      <c r="AO14" s="83">
        <f>12.3*9.4*9.4*0.52</f>
        <v>565.15056000000004</v>
      </c>
      <c r="AP14" s="83">
        <f>11.8*10.6*10.6*0.52</f>
        <v>689.44096000000002</v>
      </c>
      <c r="AQ14" s="83">
        <f>11.8*10.7*10.7*0.52</f>
        <v>702.51063999999997</v>
      </c>
      <c r="AR14" s="83">
        <f>13*11.2*11.2*0.52</f>
        <v>847.97439999999995</v>
      </c>
      <c r="AS14" s="83">
        <f>12.5*11.3*11.3*0.52</f>
        <v>829.98500000000001</v>
      </c>
      <c r="AT14" s="83">
        <f>12.3*11.2*11.2*0.52</f>
        <v>802.31423999999993</v>
      </c>
      <c r="AU14" s="83">
        <f>12.8*11.3*11.3*0.52</f>
        <v>849.9046400000002</v>
      </c>
      <c r="AV14" s="83">
        <f>14.5*11.2*11.2*0.52</f>
        <v>945.81759999999986</v>
      </c>
      <c r="AW14" s="83">
        <f>12.2*9.3*9.3*0.52</f>
        <v>548.69256000000007</v>
      </c>
      <c r="AX14" s="83">
        <f>12.3*9.7*9.7*0.52</f>
        <v>601.79964000000007</v>
      </c>
      <c r="AY14" s="83">
        <f>11.7*10*10*0.52</f>
        <v>608.4</v>
      </c>
      <c r="AZ14" s="83">
        <f>11.4*9.4*9.4*0.52</f>
        <v>523.79808000000003</v>
      </c>
      <c r="BA14" s="83">
        <f>11.5*7.9*7.9*0.52</f>
        <v>373.2118000000001</v>
      </c>
      <c r="BB14" s="83">
        <f>10.7*8.4*8.4*0.52</f>
        <v>392.59584000000001</v>
      </c>
      <c r="BC14" s="83">
        <f>11.8*8.9*8.9*0.52</f>
        <v>486.03256000000005</v>
      </c>
      <c r="BD14" s="83">
        <f>11.7*9.4*9.4*0.52</f>
        <v>537.58224000000007</v>
      </c>
      <c r="BE14" s="83">
        <f>10.8*9*9*0.52</f>
        <v>454.89600000000007</v>
      </c>
      <c r="BF14" s="83">
        <f>12.6*9.3*9.3*0.52</f>
        <v>566.68248000000006</v>
      </c>
      <c r="BG14" s="83">
        <f>13*8.6*8.6*0.52</f>
        <v>499.96959999999996</v>
      </c>
      <c r="BH14" s="83">
        <f>12.7*9.1*9.1*0.52</f>
        <v>546.87723999999992</v>
      </c>
      <c r="BI14" s="83">
        <f>11.6*9.6*9.6*0.52</f>
        <v>555.90912000000003</v>
      </c>
      <c r="BJ14" s="83">
        <f>11.8*8.3*8.3*0.52</f>
        <v>422.70904000000007</v>
      </c>
      <c r="BK14" s="83">
        <f>13.1*8.7*8.7*0.52</f>
        <v>515.60027999999988</v>
      </c>
      <c r="BL14" s="83">
        <f>12.8*8.8*8.8*0.52</f>
        <v>515.44064000000014</v>
      </c>
      <c r="BM14" s="83">
        <f>12.9*7.9*7.9*0.52</f>
        <v>418.6462800000001</v>
      </c>
      <c r="BN14" s="83">
        <f>12.7*8*8*0.52</f>
        <v>422.65600000000001</v>
      </c>
      <c r="BO14" s="83"/>
      <c r="BP14" s="83"/>
      <c r="BQ14" s="36"/>
      <c r="BR14" s="230">
        <f t="shared" si="41"/>
        <v>0.79012345679012341</v>
      </c>
      <c r="BS14" s="230">
        <f t="shared" si="42"/>
        <v>0.96025599037261222</v>
      </c>
      <c r="BT14" s="230">
        <f t="shared" si="43"/>
        <v>1</v>
      </c>
      <c r="BU14" s="230">
        <f t="shared" si="44"/>
        <v>1.6243752402921954</v>
      </c>
      <c r="BV14" s="230">
        <f t="shared" si="45"/>
        <v>1.5447904652056901</v>
      </c>
      <c r="BW14" s="230">
        <f t="shared" si="46"/>
        <v>1.469520269981631</v>
      </c>
      <c r="BX14" s="230">
        <f t="shared" si="47"/>
        <v>1.4524328249818446</v>
      </c>
      <c r="BY14" s="230">
        <f t="shared" si="48"/>
        <v>2.1094023666111328</v>
      </c>
      <c r="BZ14" s="230">
        <f t="shared" si="49"/>
        <v>2.2792753024715093</v>
      </c>
      <c r="CA14" s="230">
        <f t="shared" si="50"/>
        <v>1.9533607681755831</v>
      </c>
      <c r="CB14" s="230">
        <f t="shared" si="51"/>
        <v>2.4188227699697649</v>
      </c>
      <c r="CC14" s="230">
        <f t="shared" si="52"/>
        <v>3.8584495042267704</v>
      </c>
      <c r="CD14" s="230">
        <f t="shared" si="53"/>
        <v>1.6574821649792815</v>
      </c>
      <c r="CE14" s="230">
        <f t="shared" si="54"/>
        <v>3.5745416055553174</v>
      </c>
      <c r="CF14" s="230">
        <f t="shared" si="55"/>
        <v>2.1164699237235443</v>
      </c>
      <c r="CG14" s="230">
        <f t="shared" si="56"/>
        <v>3.99846212995002</v>
      </c>
      <c r="CH14" s="230">
        <f t="shared" si="57"/>
        <v>4.0228924297872144</v>
      </c>
      <c r="CI14" s="230">
        <f t="shared" si="58"/>
        <v>4.2860723083714252</v>
      </c>
      <c r="CJ14" s="230">
        <f t="shared" si="59"/>
        <v>5.1586426872855178</v>
      </c>
      <c r="CK14" s="230">
        <f t="shared" si="60"/>
        <v>6.293154105021336</v>
      </c>
      <c r="CL14" s="230">
        <f t="shared" si="61"/>
        <v>6.4124529501948437</v>
      </c>
      <c r="CM14" s="230">
        <f t="shared" si="62"/>
        <v>7.7402328639032465</v>
      </c>
      <c r="CN14" s="230">
        <f t="shared" si="63"/>
        <v>7.5760272639678004</v>
      </c>
      <c r="CO14" s="230">
        <f t="shared" si="64"/>
        <v>7.3234510943084565</v>
      </c>
      <c r="CP14" s="230">
        <f t="shared" si="65"/>
        <v>7.7578519183030288</v>
      </c>
      <c r="CQ14" s="230">
        <f t="shared" si="66"/>
        <v>8.6333366558920819</v>
      </c>
      <c r="CR14" s="230">
        <f t="shared" si="67"/>
        <v>5.0084155666623955</v>
      </c>
      <c r="CS14" s="230">
        <f t="shared" si="68"/>
        <v>5.4931721417688362</v>
      </c>
      <c r="CT14" s="230">
        <f t="shared" si="69"/>
        <v>5.5534196249305818</v>
      </c>
      <c r="CU14" s="230">
        <f t="shared" si="70"/>
        <v>4.781181027240236</v>
      </c>
      <c r="CV14" s="230">
        <f t="shared" si="71"/>
        <v>3.4066432188949181</v>
      </c>
      <c r="CW14" s="230">
        <f t="shared" si="72"/>
        <v>3.5835789653552053</v>
      </c>
      <c r="CX14" s="230">
        <f t="shared" si="73"/>
        <v>4.4364608104195451</v>
      </c>
      <c r="CY14" s="230">
        <f t="shared" si="74"/>
        <v>4.9070015805886635</v>
      </c>
      <c r="CZ14" s="230">
        <f t="shared" si="75"/>
        <v>4.1522491349480974</v>
      </c>
      <c r="DA14" s="230">
        <f t="shared" si="76"/>
        <v>5.1726259131103429</v>
      </c>
      <c r="DB14" s="230">
        <f t="shared" si="77"/>
        <v>4.5636768384429534</v>
      </c>
      <c r="DC14" s="230">
        <f t="shared" si="78"/>
        <v>4.9918454915251012</v>
      </c>
      <c r="DD14" s="230">
        <f t="shared" si="79"/>
        <v>5.0742876671365718</v>
      </c>
      <c r="DE14" s="230">
        <f t="shared" si="80"/>
        <v>3.8584495042267704</v>
      </c>
      <c r="DF14" s="230">
        <f t="shared" si="81"/>
        <v>4.7063522576786694</v>
      </c>
      <c r="DG14" s="230">
        <f t="shared" si="82"/>
        <v>4.70489507834119</v>
      </c>
      <c r="DH14" s="230">
        <f t="shared" si="83"/>
        <v>3.8213650020647338</v>
      </c>
      <c r="DI14" s="230">
        <f t="shared" si="84"/>
        <v>3.8579653599517756</v>
      </c>
      <c r="DJ14" s="230" t="str">
        <f t="shared" si="85"/>
        <v/>
      </c>
      <c r="DK14" s="230" t="str">
        <f t="shared" si="86"/>
        <v/>
      </c>
    </row>
    <row r="15" spans="1:115">
      <c r="A15" s="37">
        <v>1066024</v>
      </c>
      <c r="B15" s="1">
        <v>75</v>
      </c>
      <c r="C15" s="27" t="str">
        <f t="shared" si="88"/>
        <v>1066024-75</v>
      </c>
      <c r="D15" s="25" t="s">
        <v>56</v>
      </c>
      <c r="E15" s="34" t="s">
        <v>63</v>
      </c>
      <c r="F15" s="29">
        <v>42850</v>
      </c>
      <c r="G15" s="210" t="s">
        <v>67</v>
      </c>
      <c r="H15" s="83">
        <v>25.8</v>
      </c>
      <c r="I15" s="29">
        <v>42861</v>
      </c>
      <c r="J15" s="35">
        <v>26.3</v>
      </c>
      <c r="K15" s="35">
        <v>8.1999999999999993</v>
      </c>
      <c r="L15" s="35">
        <v>5.4</v>
      </c>
      <c r="M15" s="35">
        <f t="shared" si="89"/>
        <v>124.33824000000001</v>
      </c>
      <c r="N15" s="30">
        <f t="shared" si="37"/>
        <v>1243.3824000000002</v>
      </c>
      <c r="O15" s="30">
        <f t="shared" si="38"/>
        <v>41.446080000000002</v>
      </c>
      <c r="P15" s="35">
        <v>646</v>
      </c>
      <c r="Q15" s="140">
        <f t="shared" si="87"/>
        <v>5.1955054213410126</v>
      </c>
      <c r="R15" s="142">
        <f t="shared" si="90"/>
        <v>0.51955054213410123</v>
      </c>
      <c r="S15" s="238">
        <v>100</v>
      </c>
      <c r="T15" s="239"/>
      <c r="U15" s="31"/>
      <c r="V15" s="121"/>
      <c r="W15" s="78">
        <f>7.3*5.1*5.1*0.52</f>
        <v>98.733959999999982</v>
      </c>
      <c r="X15" s="83">
        <v>96.1</v>
      </c>
      <c r="Y15" s="83">
        <v>124.33824000000001</v>
      </c>
      <c r="Z15" s="83">
        <f>8.1*6.1*6.1*0.52</f>
        <v>156.72851999999997</v>
      </c>
      <c r="AA15" s="83">
        <f>8.5*5.5*5.5*0.52</f>
        <v>133.70500000000001</v>
      </c>
      <c r="AB15" s="83">
        <f>8.5*5.5*5.5*0.52</f>
        <v>133.70500000000001</v>
      </c>
      <c r="AC15" s="83">
        <f>8.4*4.9*4.9*0.52</f>
        <v>104.87568000000002</v>
      </c>
      <c r="AD15" s="83">
        <f>9.1*5.5*5.5*0.52</f>
        <v>143.143</v>
      </c>
      <c r="AE15" s="83">
        <f>6.3*5.1*5.1*0.52</f>
        <v>85.208759999999984</v>
      </c>
      <c r="AF15" s="83">
        <f>6.3*4.4*4.4*0.52</f>
        <v>63.42336000000001</v>
      </c>
      <c r="AG15" s="83">
        <f>17.4*5.7*5.7*0.52</f>
        <v>293.96952000000005</v>
      </c>
      <c r="AH15" s="83">
        <f>5.6*4.1*4.1*0.52</f>
        <v>48.95071999999999</v>
      </c>
      <c r="AI15" s="83">
        <f>6.6*5.4*5.4*0.52</f>
        <v>100.07712000000001</v>
      </c>
      <c r="AJ15" s="83">
        <f>7.2*5.2*5.2*0.52</f>
        <v>101.23776000000002</v>
      </c>
      <c r="AK15" s="83">
        <f>3.6*3*3*0.52</f>
        <v>16.848000000000003</v>
      </c>
      <c r="AL15" s="83">
        <f>6.7*5.5*5.5*0.52</f>
        <v>105.39100000000001</v>
      </c>
      <c r="AM15" s="83">
        <f>6*5.4*5.4*0.52</f>
        <v>90.97920000000002</v>
      </c>
      <c r="AN15" s="83">
        <f>6.3*5.6*5.6*0.52</f>
        <v>102.73535999999999</v>
      </c>
      <c r="AO15" s="83">
        <f>7.2*6.1*6.1*0.52</f>
        <v>139.31423999999998</v>
      </c>
      <c r="AP15" s="83">
        <f>7.2*6.6*6.6*0.52</f>
        <v>163.08863999999997</v>
      </c>
      <c r="AQ15" s="83">
        <f>7.9*6.8*6.8*0.52</f>
        <v>189.95392000000001</v>
      </c>
      <c r="AR15" s="83">
        <f>8.7*7.5*7.5*0.52</f>
        <v>254.47500000000002</v>
      </c>
      <c r="AS15" s="83">
        <f>7.7*6.9*6.9*0.52</f>
        <v>190.63044000000002</v>
      </c>
      <c r="AT15" s="83">
        <f>9.8*8.7*8.7*0.52</f>
        <v>385.71623999999997</v>
      </c>
      <c r="AU15" s="83">
        <f>10.6*9.3*9.3*0.52</f>
        <v>476.73288000000008</v>
      </c>
      <c r="AV15" s="83">
        <f>11.7*9.8*9.8*0.52</f>
        <v>584.30736000000013</v>
      </c>
      <c r="AW15" s="83">
        <f>12.1*10*10*0.52</f>
        <v>629.20000000000005</v>
      </c>
      <c r="AX15" s="83">
        <f>12.5*10.3*10.3*0.52</f>
        <v>689.58500000000004</v>
      </c>
      <c r="AY15" s="83">
        <f>13*10.7*10.7*0.52</f>
        <v>773.95240000000001</v>
      </c>
      <c r="AZ15" s="83">
        <f>13.3*10.8*10.8*0.52</f>
        <v>806.68224000000021</v>
      </c>
      <c r="BA15" s="83">
        <f>14*11*11*0.52</f>
        <v>880.88</v>
      </c>
      <c r="BB15" s="83">
        <f>13.8*12.2*12.2*0.52</f>
        <v>1068.07584</v>
      </c>
      <c r="BC15" s="83">
        <f>15.9*12.1*12.1*0.52</f>
        <v>1210.5178799999999</v>
      </c>
      <c r="BD15" s="83">
        <f>16.4*12.7*12.7*0.52</f>
        <v>1375.4811199999997</v>
      </c>
      <c r="BE15" s="83">
        <f>15.3*12.2*12.2*0.52</f>
        <v>1184.1710399999999</v>
      </c>
      <c r="BF15" s="83">
        <f>16.8*13.2*13.2*0.52</f>
        <v>1522.1606399999998</v>
      </c>
      <c r="BG15" s="83">
        <f>16.8*14*14*0.52</f>
        <v>1712.2560000000001</v>
      </c>
      <c r="BH15" s="83"/>
      <c r="BI15" s="83"/>
      <c r="BJ15" s="83"/>
      <c r="BK15" s="83"/>
      <c r="BL15" s="83"/>
      <c r="BM15" s="83"/>
      <c r="BN15" s="83"/>
      <c r="BO15" s="83"/>
      <c r="BP15" s="83"/>
      <c r="BQ15" s="36"/>
      <c r="BR15" s="230">
        <f t="shared" si="41"/>
        <v>0.79407557964468511</v>
      </c>
      <c r="BS15" s="230">
        <f t="shared" si="42"/>
        <v>0.77289175075986261</v>
      </c>
      <c r="BT15" s="230">
        <f t="shared" si="43"/>
        <v>1</v>
      </c>
      <c r="BU15" s="230">
        <f t="shared" si="44"/>
        <v>1.2605013550135498</v>
      </c>
      <c r="BV15" s="230">
        <f t="shared" si="45"/>
        <v>1.0753328983907122</v>
      </c>
      <c r="BW15" s="230">
        <f t="shared" si="46"/>
        <v>1.0753328983907122</v>
      </c>
      <c r="BX15" s="230">
        <f t="shared" si="47"/>
        <v>0.84347084211582857</v>
      </c>
      <c r="BY15" s="230">
        <f t="shared" si="48"/>
        <v>1.1512387500418213</v>
      </c>
      <c r="BZ15" s="230">
        <f t="shared" si="49"/>
        <v>0.68529810298102956</v>
      </c>
      <c r="CA15" s="230">
        <f t="shared" si="50"/>
        <v>0.51008732309545324</v>
      </c>
      <c r="CB15" s="230">
        <f t="shared" si="51"/>
        <v>2.3642728093947607</v>
      </c>
      <c r="CC15" s="230">
        <f t="shared" si="52"/>
        <v>0.39368998628257873</v>
      </c>
      <c r="CD15" s="230">
        <f t="shared" si="53"/>
        <v>0.80487804878048774</v>
      </c>
      <c r="CE15" s="230">
        <f t="shared" si="54"/>
        <v>0.81421258657031026</v>
      </c>
      <c r="CF15" s="230">
        <f t="shared" si="55"/>
        <v>0.13550135501355015</v>
      </c>
      <c r="CG15" s="230">
        <f t="shared" si="56"/>
        <v>0.84761534343738498</v>
      </c>
      <c r="CH15" s="230">
        <f t="shared" si="57"/>
        <v>0.73170731707317083</v>
      </c>
      <c r="CI15" s="230">
        <f t="shared" si="58"/>
        <v>0.82625715146040324</v>
      </c>
      <c r="CJ15" s="230">
        <f t="shared" si="59"/>
        <v>1.1204456489009331</v>
      </c>
      <c r="CK15" s="230">
        <f t="shared" si="60"/>
        <v>1.3116531165311649</v>
      </c>
      <c r="CL15" s="230">
        <f t="shared" si="61"/>
        <v>1.5277192278095619</v>
      </c>
      <c r="CM15" s="230">
        <f t="shared" si="62"/>
        <v>2.0466350496838301</v>
      </c>
      <c r="CN15" s="230">
        <f t="shared" si="63"/>
        <v>1.5331601927130383</v>
      </c>
      <c r="CO15" s="230">
        <f t="shared" si="64"/>
        <v>3.1021529659741036</v>
      </c>
      <c r="CP15" s="230">
        <f t="shared" si="65"/>
        <v>3.8341613971695274</v>
      </c>
      <c r="CQ15" s="230">
        <f t="shared" si="66"/>
        <v>4.6993375489310454</v>
      </c>
      <c r="CR15" s="230">
        <f t="shared" si="67"/>
        <v>5.0603901100739401</v>
      </c>
      <c r="CS15" s="230">
        <f t="shared" si="68"/>
        <v>5.5460411857204992</v>
      </c>
      <c r="CT15" s="230">
        <f t="shared" si="69"/>
        <v>6.2245725852320248</v>
      </c>
      <c r="CU15" s="230">
        <f t="shared" si="70"/>
        <v>6.4878048780487818</v>
      </c>
      <c r="CV15" s="230">
        <f t="shared" si="71"/>
        <v>7.0845461541035153</v>
      </c>
      <c r="CW15" s="230">
        <f t="shared" si="72"/>
        <v>8.590083308240489</v>
      </c>
      <c r="CX15" s="230">
        <f t="shared" si="73"/>
        <v>9.735684532771252</v>
      </c>
      <c r="CY15" s="230">
        <f t="shared" si="74"/>
        <v>11.062414266117965</v>
      </c>
      <c r="CZ15" s="230">
        <f t="shared" si="75"/>
        <v>9.5237880156579333</v>
      </c>
      <c r="DA15" s="230">
        <f t="shared" si="76"/>
        <v>12.242095754290874</v>
      </c>
      <c r="DB15" s="230">
        <f t="shared" si="77"/>
        <v>13.770952524340057</v>
      </c>
      <c r="DC15" s="230" t="str">
        <f t="shared" si="78"/>
        <v/>
      </c>
      <c r="DD15" s="230" t="str">
        <f t="shared" si="79"/>
        <v/>
      </c>
      <c r="DE15" s="230" t="str">
        <f t="shared" si="80"/>
        <v/>
      </c>
      <c r="DF15" s="230" t="str">
        <f t="shared" si="81"/>
        <v/>
      </c>
      <c r="DG15" s="230" t="str">
        <f t="shared" si="82"/>
        <v/>
      </c>
      <c r="DH15" s="230" t="str">
        <f t="shared" si="83"/>
        <v/>
      </c>
      <c r="DI15" s="230" t="str">
        <f t="shared" si="84"/>
        <v/>
      </c>
      <c r="DJ15" s="230" t="str">
        <f t="shared" si="85"/>
        <v/>
      </c>
      <c r="DK15" s="230" t="str">
        <f t="shared" si="86"/>
        <v/>
      </c>
    </row>
    <row r="16" spans="1:115">
      <c r="A16" s="37">
        <v>1066025</v>
      </c>
      <c r="B16" s="1">
        <v>81</v>
      </c>
      <c r="C16" s="27" t="str">
        <f t="shared" si="88"/>
        <v>1066025-81</v>
      </c>
      <c r="D16" s="25" t="s">
        <v>56</v>
      </c>
      <c r="E16" s="34" t="s">
        <v>63</v>
      </c>
      <c r="F16" s="29">
        <v>42850</v>
      </c>
      <c r="G16" s="210" t="s">
        <v>67</v>
      </c>
      <c r="H16" s="83">
        <v>29.9</v>
      </c>
      <c r="I16" s="29">
        <v>42861</v>
      </c>
      <c r="J16" s="35">
        <v>29.6</v>
      </c>
      <c r="K16" s="35">
        <v>6.6</v>
      </c>
      <c r="L16" s="35">
        <v>5.5</v>
      </c>
      <c r="M16" s="35">
        <f t="shared" si="89"/>
        <v>103.818</v>
      </c>
      <c r="N16" s="30">
        <f t="shared" si="37"/>
        <v>1038.18</v>
      </c>
      <c r="O16" s="30">
        <f t="shared" si="38"/>
        <v>34.606000000000002</v>
      </c>
      <c r="P16" s="35">
        <v>557</v>
      </c>
      <c r="Q16" s="140">
        <f t="shared" si="87"/>
        <v>5.3651582577202417</v>
      </c>
      <c r="R16" s="142">
        <f t="shared" si="90"/>
        <v>0.53651582577202406</v>
      </c>
      <c r="S16" s="238">
        <v>100</v>
      </c>
      <c r="T16" s="239"/>
      <c r="U16" s="31"/>
      <c r="V16" s="121"/>
      <c r="W16" s="78">
        <f>6.4*5*5*0.52</f>
        <v>83.2</v>
      </c>
      <c r="X16" s="83">
        <v>105.4</v>
      </c>
      <c r="Y16" s="83">
        <v>103.818</v>
      </c>
      <c r="Z16" s="83">
        <f>8.3*7.4*7.4*0.52</f>
        <v>236.34416000000004</v>
      </c>
      <c r="AA16" s="83">
        <f>7.6*6.5*6.5*0.52</f>
        <v>166.97199999999998</v>
      </c>
      <c r="AB16" s="83">
        <f>6.9*5.5*5.5*0.52</f>
        <v>108.53700000000002</v>
      </c>
      <c r="AC16" s="83">
        <f>7.5*6*6*0.52</f>
        <v>140.4</v>
      </c>
      <c r="AD16" s="83">
        <f>8.2*6*6*0.52</f>
        <v>153.50399999999999</v>
      </c>
      <c r="AE16" s="83">
        <f>6.4*5.5*5.5*0.52</f>
        <v>100.67200000000001</v>
      </c>
      <c r="AF16" s="83">
        <f>6.4*5.8*5.8*0.52</f>
        <v>111.95392</v>
      </c>
      <c r="AG16" s="83">
        <f>6.4*6.1*6.1*0.52</f>
        <v>123.83488</v>
      </c>
      <c r="AH16" s="83">
        <f>7.8*6.5*6.5*0.52</f>
        <v>171.36599999999999</v>
      </c>
      <c r="AI16" s="83">
        <f>8.5*7.5*7.5*0.52</f>
        <v>248.625</v>
      </c>
      <c r="AJ16" s="83">
        <f>6.8*6.5*6.5*0.52</f>
        <v>149.39599999999999</v>
      </c>
      <c r="AK16" s="83">
        <f>7.6*6.2*6.2*0.52</f>
        <v>151.91488000000001</v>
      </c>
      <c r="AL16" s="83">
        <f>8*6.7*6.7*0.52</f>
        <v>186.7424</v>
      </c>
      <c r="AM16" s="83">
        <f>9.5*8.4*8.4*0.52</f>
        <v>348.56640000000004</v>
      </c>
      <c r="AN16" s="83">
        <f>8.5*7.7*7.7*0.52</f>
        <v>262.06180000000001</v>
      </c>
      <c r="AO16" s="83">
        <f>10.4*9.1*9.1*0.52</f>
        <v>447.83647999999999</v>
      </c>
      <c r="AP16" s="83">
        <f>9*8.2*8.2*0.52</f>
        <v>314.6832</v>
      </c>
      <c r="AQ16" s="83">
        <f>9.7*9.6*9.6*0.52</f>
        <v>464.85503999999997</v>
      </c>
      <c r="AR16" s="83">
        <f>11*10.6*10.6*0.52</f>
        <v>642.69919999999991</v>
      </c>
      <c r="AS16" s="83">
        <f>11.1*11*11*0.52</f>
        <v>698.41199999999992</v>
      </c>
      <c r="AT16" s="83">
        <f>12.6*11.1*11.1*0.52</f>
        <v>807.27191999999991</v>
      </c>
      <c r="AU16" s="83">
        <f>13.4*11.9*11.9*0.52</f>
        <v>986.7384800000001</v>
      </c>
      <c r="AV16" s="83">
        <f>15.7*13.3*13.3*0.52</f>
        <v>1444.1299600000002</v>
      </c>
      <c r="AW16" s="83">
        <f>13.3*13.3*13.3*0.52</f>
        <v>1223.3712400000002</v>
      </c>
      <c r="AX16" s="83">
        <f>14.7*13.2*13.2*0.52</f>
        <v>1331.8905600000001</v>
      </c>
      <c r="AY16" s="83">
        <f>16.2*14.2*14.2*0.52</f>
        <v>1698.61536</v>
      </c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36"/>
      <c r="BR16" s="230">
        <f t="shared" si="41"/>
        <v>0.80140245429501633</v>
      </c>
      <c r="BS16" s="230">
        <f t="shared" si="42"/>
        <v>1.01523820532085</v>
      </c>
      <c r="BT16" s="230">
        <f t="shared" si="43"/>
        <v>1</v>
      </c>
      <c r="BU16" s="230">
        <f t="shared" si="44"/>
        <v>2.276523916854496</v>
      </c>
      <c r="BV16" s="230">
        <f t="shared" si="45"/>
        <v>1.6083145504633107</v>
      </c>
      <c r="BW16" s="230">
        <f t="shared" si="46"/>
        <v>1.0454545454545456</v>
      </c>
      <c r="BX16" s="230">
        <f t="shared" si="47"/>
        <v>1.3523666416228401</v>
      </c>
      <c r="BY16" s="230">
        <f t="shared" si="48"/>
        <v>1.4785875281743051</v>
      </c>
      <c r="BZ16" s="230">
        <f t="shared" si="49"/>
        <v>0.96969696969696983</v>
      </c>
      <c r="CA16" s="230">
        <f t="shared" si="50"/>
        <v>1.0783671424993739</v>
      </c>
      <c r="CB16" s="230">
        <f t="shared" si="51"/>
        <v>1.1928074129727022</v>
      </c>
      <c r="CC16" s="230">
        <f t="shared" si="52"/>
        <v>1.6506386175807661</v>
      </c>
      <c r="CD16" s="230">
        <f t="shared" si="53"/>
        <v>2.3948159278737791</v>
      </c>
      <c r="CE16" s="230">
        <f t="shared" si="54"/>
        <v>1.4390182819934885</v>
      </c>
      <c r="CF16" s="230">
        <f t="shared" si="55"/>
        <v>1.4632807412972704</v>
      </c>
      <c r="CG16" s="230">
        <f t="shared" si="56"/>
        <v>1.798747808665164</v>
      </c>
      <c r="CH16" s="230">
        <f t="shared" si="57"/>
        <v>3.3574755822689712</v>
      </c>
      <c r="CI16" s="230">
        <f t="shared" si="58"/>
        <v>2.5242424242424244</v>
      </c>
      <c r="CJ16" s="230">
        <f t="shared" si="59"/>
        <v>4.313668920611069</v>
      </c>
      <c r="CK16" s="230">
        <f t="shared" si="60"/>
        <v>3.0311044327573256</v>
      </c>
      <c r="CL16" s="230">
        <f t="shared" si="61"/>
        <v>4.477595792637115</v>
      </c>
      <c r="CM16" s="230">
        <f t="shared" si="62"/>
        <v>6.1906336088154266</v>
      </c>
      <c r="CN16" s="230">
        <f t="shared" si="63"/>
        <v>6.7272727272727266</v>
      </c>
      <c r="CO16" s="230">
        <f t="shared" si="64"/>
        <v>7.7758377160030046</v>
      </c>
      <c r="CP16" s="230">
        <f t="shared" si="65"/>
        <v>9.5045028800400715</v>
      </c>
      <c r="CQ16" s="230">
        <f t="shared" si="66"/>
        <v>13.910207863761585</v>
      </c>
      <c r="CR16" s="230">
        <f t="shared" si="67"/>
        <v>11.783806661657904</v>
      </c>
      <c r="CS16" s="230">
        <f t="shared" si="68"/>
        <v>12.82909090909091</v>
      </c>
      <c r="CT16" s="230">
        <f t="shared" si="69"/>
        <v>16.361472577009767</v>
      </c>
      <c r="CU16" s="230" t="str">
        <f t="shared" si="70"/>
        <v/>
      </c>
      <c r="CV16" s="230" t="str">
        <f t="shared" si="71"/>
        <v/>
      </c>
      <c r="CW16" s="230" t="str">
        <f t="shared" si="72"/>
        <v/>
      </c>
      <c r="CX16" s="230" t="str">
        <f t="shared" si="73"/>
        <v/>
      </c>
      <c r="CY16" s="230" t="str">
        <f t="shared" si="74"/>
        <v/>
      </c>
      <c r="CZ16" s="230" t="str">
        <f t="shared" si="75"/>
        <v/>
      </c>
      <c r="DA16" s="230" t="str">
        <f t="shared" si="76"/>
        <v/>
      </c>
      <c r="DB16" s="230" t="str">
        <f t="shared" si="77"/>
        <v/>
      </c>
      <c r="DC16" s="230" t="str">
        <f t="shared" si="78"/>
        <v/>
      </c>
      <c r="DD16" s="230" t="str">
        <f t="shared" si="79"/>
        <v/>
      </c>
      <c r="DE16" s="230" t="str">
        <f t="shared" si="80"/>
        <v/>
      </c>
      <c r="DF16" s="230" t="str">
        <f t="shared" si="81"/>
        <v/>
      </c>
      <c r="DG16" s="230" t="str">
        <f t="shared" si="82"/>
        <v/>
      </c>
      <c r="DH16" s="230" t="str">
        <f t="shared" si="83"/>
        <v/>
      </c>
      <c r="DI16" s="230" t="str">
        <f t="shared" si="84"/>
        <v/>
      </c>
      <c r="DJ16" s="230" t="str">
        <f t="shared" si="85"/>
        <v/>
      </c>
      <c r="DK16" s="230" t="str">
        <f t="shared" si="86"/>
        <v/>
      </c>
    </row>
    <row r="17" spans="1:115">
      <c r="A17" s="37">
        <v>1066025</v>
      </c>
      <c r="B17" s="1">
        <v>82</v>
      </c>
      <c r="C17" s="27" t="str">
        <f t="shared" si="88"/>
        <v>1066025-82</v>
      </c>
      <c r="D17" s="25" t="s">
        <v>56</v>
      </c>
      <c r="E17" s="34" t="s">
        <v>62</v>
      </c>
      <c r="F17" s="29">
        <v>42850</v>
      </c>
      <c r="G17" s="210" t="s">
        <v>67</v>
      </c>
      <c r="H17" s="83">
        <v>27.4</v>
      </c>
      <c r="I17" s="29">
        <v>42861</v>
      </c>
      <c r="J17" s="35">
        <v>27.8</v>
      </c>
      <c r="K17" s="35">
        <v>5.3</v>
      </c>
      <c r="L17" s="35">
        <v>5</v>
      </c>
      <c r="M17" s="35">
        <f t="shared" si="89"/>
        <v>68.900000000000006</v>
      </c>
      <c r="N17" s="30">
        <f t="shared" si="37"/>
        <v>689</v>
      </c>
      <c r="O17" s="30">
        <f t="shared" si="38"/>
        <v>22.966666666666669</v>
      </c>
      <c r="P17" s="35">
        <v>0</v>
      </c>
      <c r="Q17" s="140">
        <f t="shared" si="87"/>
        <v>0</v>
      </c>
      <c r="R17" s="142">
        <f t="shared" si="90"/>
        <v>0</v>
      </c>
      <c r="S17" s="238"/>
      <c r="T17" s="239"/>
      <c r="U17" s="31"/>
      <c r="V17" s="121"/>
      <c r="W17" s="78">
        <f>5.4*4.8*4.8*0.52</f>
        <v>64.69632</v>
      </c>
      <c r="X17" s="83">
        <v>74.400000000000006</v>
      </c>
      <c r="Y17" s="83">
        <v>68.900000000000006</v>
      </c>
      <c r="Z17" s="83">
        <f>5.7*5.2*5.2*0.52</f>
        <v>80.146560000000008</v>
      </c>
      <c r="AA17" s="83">
        <f>6.1*5*5*0.52</f>
        <v>79.3</v>
      </c>
      <c r="AB17" s="83">
        <f>5.6*5.6*5.6*0.52</f>
        <v>91.320319999999981</v>
      </c>
      <c r="AC17" s="83">
        <f>5.9*5.8*5.8*0.52</f>
        <v>103.20752</v>
      </c>
      <c r="AD17" s="83">
        <f>6.9*5.7*5.7*0.52</f>
        <v>116.57412000000002</v>
      </c>
      <c r="AE17" s="83">
        <f>7.2*6*6*0.52</f>
        <v>134.78400000000002</v>
      </c>
      <c r="AF17" s="83">
        <f>8*6.6*6.6*0.52</f>
        <v>181.20959999999999</v>
      </c>
      <c r="AG17" s="83">
        <f>8.1*6.8*6.8*0.52</f>
        <v>194.76288</v>
      </c>
      <c r="AH17" s="83">
        <f>8.8*6.9*6.9*0.52</f>
        <v>217.86336000000006</v>
      </c>
      <c r="AI17" s="83">
        <f>8.5*6.9*6.9*0.52</f>
        <v>210.43620000000004</v>
      </c>
      <c r="AJ17" s="83">
        <f>9.2*7.4*7.4*0.52</f>
        <v>261.97184000000004</v>
      </c>
      <c r="AK17" s="83">
        <f>8.6*6.7*6.7*0.52</f>
        <v>200.74807999999999</v>
      </c>
      <c r="AL17" s="83">
        <f>9.3*7.9*7.9*0.52</f>
        <v>301.81476000000009</v>
      </c>
      <c r="AM17" s="83">
        <f>9.8*9*9*0.52</f>
        <v>412.77600000000007</v>
      </c>
      <c r="AN17" s="83">
        <f>10.5*10.1*10.1*0.52</f>
        <v>556.97460000000001</v>
      </c>
      <c r="AO17" s="83">
        <f>10.4*10.3*10.3*0.52</f>
        <v>573.73472000000004</v>
      </c>
      <c r="AP17" s="83">
        <f>9.4*8.7*8.7*0.52</f>
        <v>369.97271999999998</v>
      </c>
      <c r="AQ17" s="83">
        <f>11.3*10.9*10.9*0.52</f>
        <v>698.12756000000013</v>
      </c>
      <c r="AR17" s="83">
        <f>11.8*11.6*11.6*0.52</f>
        <v>825.66016000000002</v>
      </c>
      <c r="AS17" s="83">
        <f>12*12*12*0.52</f>
        <v>898.56000000000006</v>
      </c>
      <c r="AT17" s="83">
        <f>12.7*12.1*12.1*0.52</f>
        <v>966.89163999999982</v>
      </c>
      <c r="AU17" s="83">
        <f>12.8*11.8*11.8*0.52</f>
        <v>926.7814400000002</v>
      </c>
      <c r="AV17" s="83">
        <f>13.2*11.1*11.1*0.52</f>
        <v>845.71343999999999</v>
      </c>
      <c r="AW17" s="83">
        <f>13.2*11.5*11.5*0.52</f>
        <v>907.7639999999999</v>
      </c>
      <c r="AX17" s="83">
        <f>14.1*12.7*12.7*0.52</f>
        <v>1182.5782799999999</v>
      </c>
      <c r="AY17" s="83">
        <f>14.6*13.4*13.4*0.52</f>
        <v>1363.2195200000001</v>
      </c>
      <c r="AZ17" s="83">
        <f>14.9*13.4*13.4*0.52</f>
        <v>1391.2308800000001</v>
      </c>
      <c r="BA17" s="83">
        <f>14.8*13.5*13.5*0.52</f>
        <v>1402.5960000000002</v>
      </c>
      <c r="BB17" s="83">
        <f>15.9*14.8*14.8*0.52</f>
        <v>1811.0227200000002</v>
      </c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36"/>
      <c r="BR17" s="230">
        <f t="shared" si="41"/>
        <v>0.93898867924528295</v>
      </c>
      <c r="BS17" s="230">
        <f t="shared" si="42"/>
        <v>1.0798258345428158</v>
      </c>
      <c r="BT17" s="230">
        <f t="shared" si="43"/>
        <v>1</v>
      </c>
      <c r="BU17" s="230">
        <f t="shared" si="44"/>
        <v>1.1632301886792453</v>
      </c>
      <c r="BV17" s="230">
        <f t="shared" si="45"/>
        <v>1.1509433962264151</v>
      </c>
      <c r="BW17" s="230">
        <f t="shared" si="46"/>
        <v>1.3254037735849054</v>
      </c>
      <c r="BX17" s="230">
        <f t="shared" si="47"/>
        <v>1.497932075471698</v>
      </c>
      <c r="BY17" s="230">
        <f t="shared" si="48"/>
        <v>1.6919320754716982</v>
      </c>
      <c r="BZ17" s="230">
        <f t="shared" si="49"/>
        <v>1.9562264150943398</v>
      </c>
      <c r="CA17" s="230">
        <f t="shared" si="50"/>
        <v>2.6300377358490561</v>
      </c>
      <c r="CB17" s="230">
        <f t="shared" si="51"/>
        <v>2.8267471698113202</v>
      </c>
      <c r="CC17" s="230">
        <f t="shared" si="52"/>
        <v>3.1620226415094344</v>
      </c>
      <c r="CD17" s="230">
        <f t="shared" si="53"/>
        <v>3.0542264150943401</v>
      </c>
      <c r="CE17" s="230">
        <f t="shared" si="54"/>
        <v>3.8022037735849059</v>
      </c>
      <c r="CF17" s="230">
        <f t="shared" si="55"/>
        <v>2.9136150943396224</v>
      </c>
      <c r="CG17" s="230">
        <f t="shared" si="56"/>
        <v>4.380475471698114</v>
      </c>
      <c r="CH17" s="230">
        <f t="shared" si="57"/>
        <v>5.9909433962264158</v>
      </c>
      <c r="CI17" s="230">
        <f t="shared" si="58"/>
        <v>8.083811320754716</v>
      </c>
      <c r="CJ17" s="230">
        <f t="shared" si="59"/>
        <v>8.3270641509433965</v>
      </c>
      <c r="CK17" s="230">
        <f t="shared" si="60"/>
        <v>5.3697056603773579</v>
      </c>
      <c r="CL17" s="230">
        <f t="shared" si="61"/>
        <v>10.132475471698115</v>
      </c>
      <c r="CM17" s="230">
        <f t="shared" si="62"/>
        <v>11.983456603773584</v>
      </c>
      <c r="CN17" s="230">
        <f t="shared" si="63"/>
        <v>13.041509433962265</v>
      </c>
      <c r="CO17" s="230">
        <f t="shared" si="64"/>
        <v>14.033260377358486</v>
      </c>
      <c r="CP17" s="230">
        <f t="shared" si="65"/>
        <v>13.451109433962266</v>
      </c>
      <c r="CQ17" s="230">
        <f t="shared" si="66"/>
        <v>12.274505660377358</v>
      </c>
      <c r="CR17" s="230">
        <f t="shared" si="67"/>
        <v>13.175094339622639</v>
      </c>
      <c r="CS17" s="230">
        <f t="shared" si="68"/>
        <v>17.163690566037733</v>
      </c>
      <c r="CT17" s="230">
        <f t="shared" si="69"/>
        <v>19.785479245283017</v>
      </c>
      <c r="CU17" s="230">
        <f t="shared" si="70"/>
        <v>20.192030188679244</v>
      </c>
      <c r="CV17" s="230">
        <f t="shared" si="71"/>
        <v>20.356981132075472</v>
      </c>
      <c r="CW17" s="230">
        <f t="shared" si="72"/>
        <v>26.284800000000001</v>
      </c>
      <c r="CX17" s="230" t="str">
        <f t="shared" si="73"/>
        <v/>
      </c>
      <c r="CY17" s="230" t="str">
        <f t="shared" si="74"/>
        <v/>
      </c>
      <c r="CZ17" s="230" t="str">
        <f t="shared" si="75"/>
        <v/>
      </c>
      <c r="DA17" s="230" t="str">
        <f t="shared" si="76"/>
        <v/>
      </c>
      <c r="DB17" s="230" t="str">
        <f t="shared" si="77"/>
        <v/>
      </c>
      <c r="DC17" s="230" t="str">
        <f t="shared" si="78"/>
        <v/>
      </c>
      <c r="DD17" s="230" t="str">
        <f t="shared" si="79"/>
        <v/>
      </c>
      <c r="DE17" s="230" t="str">
        <f t="shared" si="80"/>
        <v/>
      </c>
      <c r="DF17" s="230" t="str">
        <f t="shared" si="81"/>
        <v/>
      </c>
      <c r="DG17" s="230" t="str">
        <f t="shared" si="82"/>
        <v/>
      </c>
      <c r="DH17" s="230" t="str">
        <f t="shared" si="83"/>
        <v/>
      </c>
      <c r="DI17" s="230" t="str">
        <f t="shared" si="84"/>
        <v/>
      </c>
      <c r="DJ17" s="230" t="str">
        <f t="shared" si="85"/>
        <v/>
      </c>
      <c r="DK17" s="230" t="str">
        <f t="shared" si="86"/>
        <v/>
      </c>
    </row>
    <row r="18" spans="1:115">
      <c r="A18" s="37">
        <v>1066025</v>
      </c>
      <c r="B18" s="1">
        <v>83</v>
      </c>
      <c r="C18" s="27" t="str">
        <f t="shared" si="88"/>
        <v>1066025-83</v>
      </c>
      <c r="D18" s="25" t="s">
        <v>56</v>
      </c>
      <c r="E18" s="34" t="s">
        <v>65</v>
      </c>
      <c r="F18" s="29">
        <v>42850</v>
      </c>
      <c r="G18" s="210" t="s">
        <v>68</v>
      </c>
      <c r="H18" s="83">
        <v>30</v>
      </c>
      <c r="I18" s="29">
        <v>42861</v>
      </c>
      <c r="J18" s="35">
        <v>30.4</v>
      </c>
      <c r="K18" s="35">
        <v>7.3</v>
      </c>
      <c r="L18" s="35">
        <v>5</v>
      </c>
      <c r="M18" s="35">
        <f t="shared" si="89"/>
        <v>94.9</v>
      </c>
      <c r="N18" s="30">
        <f t="shared" si="37"/>
        <v>949</v>
      </c>
      <c r="O18" s="30">
        <f t="shared" si="38"/>
        <v>31.633333333333336</v>
      </c>
      <c r="P18" s="35">
        <v>674</v>
      </c>
      <c r="Q18" s="140">
        <f t="shared" si="87"/>
        <v>7.1022128556375126</v>
      </c>
      <c r="R18" s="142">
        <f t="shared" si="90"/>
        <v>0.7102212855637513</v>
      </c>
      <c r="S18" s="238">
        <v>100</v>
      </c>
      <c r="T18" s="239"/>
      <c r="U18" s="31"/>
      <c r="V18" s="121"/>
      <c r="W18" s="78">
        <f>6.3*5.4*5.4*0.52</f>
        <v>95.528160000000014</v>
      </c>
      <c r="X18" s="83">
        <v>68.900000000000006</v>
      </c>
      <c r="Y18" s="83">
        <v>94.9</v>
      </c>
      <c r="Z18" s="83">
        <f>7.9*6.2*6.2*0.52</f>
        <v>157.91152000000002</v>
      </c>
      <c r="AA18" s="83">
        <f>8.3*6.3*6.3*0.52</f>
        <v>171.30204000000001</v>
      </c>
      <c r="AB18" s="83">
        <f>7.3*5.9*5.9*0.52</f>
        <v>132.13876000000002</v>
      </c>
      <c r="AC18" s="83">
        <f>6.1*4.7*4.7*0.52</f>
        <v>70.069479999999999</v>
      </c>
      <c r="AD18" s="83">
        <f>5.9*4.6*4.6*0.52</f>
        <v>64.918880000000001</v>
      </c>
      <c r="AE18" s="83">
        <f>6.8*5.6*5.6*0.52</f>
        <v>110.88896</v>
      </c>
      <c r="AF18" s="83">
        <f>0</f>
        <v>0</v>
      </c>
      <c r="AG18" s="83">
        <f>0</f>
        <v>0</v>
      </c>
      <c r="AH18" s="83">
        <f>0</f>
        <v>0</v>
      </c>
      <c r="AI18" s="83">
        <f>0</f>
        <v>0</v>
      </c>
      <c r="AJ18" s="83">
        <v>0</v>
      </c>
      <c r="AK18" s="83">
        <f>0</f>
        <v>0</v>
      </c>
      <c r="AL18" s="83">
        <v>0</v>
      </c>
      <c r="AM18" s="83">
        <v>0</v>
      </c>
      <c r="AN18" s="83">
        <f>0</f>
        <v>0</v>
      </c>
      <c r="AO18" s="83">
        <f>0</f>
        <v>0</v>
      </c>
      <c r="AP18" s="83">
        <v>0</v>
      </c>
      <c r="AQ18" s="83">
        <f>4.7*4.4*4.4*0.52</f>
        <v>47.315840000000009</v>
      </c>
      <c r="AR18" s="83">
        <f>11.3*8.3*8.3*0.52</f>
        <v>404.79764000000011</v>
      </c>
      <c r="AS18" s="83">
        <f>14.4*9.8*9.8*0.52</f>
        <v>719.1475200000001</v>
      </c>
      <c r="AT18" s="83">
        <f>16.3*10.5*10.5*0.52</f>
        <v>934.47900000000004</v>
      </c>
      <c r="AU18" s="83">
        <f>15.8*10.4*10.4*0.52</f>
        <v>888.64256000000023</v>
      </c>
      <c r="AV18" s="83">
        <f>17*11.7*11.7*0.52</f>
        <v>1210.1075999999998</v>
      </c>
      <c r="AW18" s="83">
        <f>19.4*11.7*11.7*0.52</f>
        <v>1380.9463199999996</v>
      </c>
      <c r="AX18" s="83">
        <f>20*13.1*13.1*0.52</f>
        <v>1784.7439999999999</v>
      </c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36"/>
      <c r="BR18" s="230">
        <f t="shared" si="41"/>
        <v>1.0066191780821918</v>
      </c>
      <c r="BS18" s="230">
        <f t="shared" si="42"/>
        <v>0.72602739726027399</v>
      </c>
      <c r="BT18" s="230">
        <f t="shared" si="43"/>
        <v>1</v>
      </c>
      <c r="BU18" s="230">
        <f t="shared" si="44"/>
        <v>1.6639780821917809</v>
      </c>
      <c r="BV18" s="230">
        <f t="shared" si="45"/>
        <v>1.8050794520547944</v>
      </c>
      <c r="BW18" s="230">
        <f t="shared" si="46"/>
        <v>1.3924000000000001</v>
      </c>
      <c r="BX18" s="230">
        <f t="shared" si="47"/>
        <v>0.7383506849315068</v>
      </c>
      <c r="BY18" s="230">
        <f t="shared" si="48"/>
        <v>0.6840767123287671</v>
      </c>
      <c r="BZ18" s="230">
        <f t="shared" si="49"/>
        <v>1.1684821917808219</v>
      </c>
      <c r="CA18" s="230">
        <f t="shared" si="50"/>
        <v>0</v>
      </c>
      <c r="CB18" s="230">
        <f t="shared" si="51"/>
        <v>0</v>
      </c>
      <c r="CC18" s="230">
        <f t="shared" si="52"/>
        <v>0</v>
      </c>
      <c r="CD18" s="230">
        <f t="shared" si="53"/>
        <v>0</v>
      </c>
      <c r="CE18" s="230">
        <f t="shared" si="54"/>
        <v>0</v>
      </c>
      <c r="CF18" s="230">
        <f t="shared" si="55"/>
        <v>0</v>
      </c>
      <c r="CG18" s="230">
        <f t="shared" si="56"/>
        <v>0</v>
      </c>
      <c r="CH18" s="230">
        <f t="shared" si="57"/>
        <v>0</v>
      </c>
      <c r="CI18" s="230">
        <f t="shared" si="58"/>
        <v>0</v>
      </c>
      <c r="CJ18" s="230">
        <f t="shared" si="59"/>
        <v>0</v>
      </c>
      <c r="CK18" s="230">
        <f t="shared" si="60"/>
        <v>0</v>
      </c>
      <c r="CL18" s="230">
        <f t="shared" si="61"/>
        <v>0.49858630136986309</v>
      </c>
      <c r="CM18" s="230">
        <f t="shared" si="62"/>
        <v>4.2655178082191787</v>
      </c>
      <c r="CN18" s="230">
        <f t="shared" si="63"/>
        <v>7.5779506849315075</v>
      </c>
      <c r="CO18" s="230">
        <f t="shared" si="64"/>
        <v>9.8469863013698635</v>
      </c>
      <c r="CP18" s="230">
        <f t="shared" si="65"/>
        <v>9.363989041095893</v>
      </c>
      <c r="CQ18" s="230">
        <f t="shared" si="66"/>
        <v>12.75139726027397</v>
      </c>
      <c r="CR18" s="230">
        <f t="shared" si="67"/>
        <v>14.55159452054794</v>
      </c>
      <c r="CS18" s="230">
        <f t="shared" si="68"/>
        <v>18.806575342465752</v>
      </c>
      <c r="CT18" s="230" t="str">
        <f t="shared" si="69"/>
        <v/>
      </c>
      <c r="CU18" s="230" t="str">
        <f t="shared" si="70"/>
        <v/>
      </c>
      <c r="CV18" s="230" t="str">
        <f t="shared" si="71"/>
        <v/>
      </c>
      <c r="CW18" s="230" t="str">
        <f t="shared" si="72"/>
        <v/>
      </c>
      <c r="CX18" s="230" t="str">
        <f t="shared" si="73"/>
        <v/>
      </c>
      <c r="CY18" s="230" t="str">
        <f t="shared" si="74"/>
        <v/>
      </c>
      <c r="CZ18" s="230" t="str">
        <f t="shared" si="75"/>
        <v/>
      </c>
      <c r="DA18" s="230" t="str">
        <f t="shared" si="76"/>
        <v/>
      </c>
      <c r="DB18" s="230" t="str">
        <f t="shared" si="77"/>
        <v/>
      </c>
      <c r="DC18" s="230" t="str">
        <f t="shared" si="78"/>
        <v/>
      </c>
      <c r="DD18" s="230" t="str">
        <f t="shared" si="79"/>
        <v/>
      </c>
      <c r="DE18" s="230" t="str">
        <f t="shared" si="80"/>
        <v/>
      </c>
      <c r="DF18" s="230" t="str">
        <f t="shared" si="81"/>
        <v/>
      </c>
      <c r="DG18" s="230" t="str">
        <f t="shared" si="82"/>
        <v/>
      </c>
      <c r="DH18" s="230" t="str">
        <f t="shared" si="83"/>
        <v/>
      </c>
      <c r="DI18" s="230" t="str">
        <f t="shared" si="84"/>
        <v/>
      </c>
      <c r="DJ18" s="230" t="str">
        <f t="shared" si="85"/>
        <v/>
      </c>
      <c r="DK18" s="230" t="str">
        <f t="shared" si="86"/>
        <v/>
      </c>
    </row>
    <row r="19" spans="1:115">
      <c r="A19" s="37">
        <v>1066025</v>
      </c>
      <c r="B19" s="1">
        <v>84</v>
      </c>
      <c r="C19" s="27" t="str">
        <f t="shared" si="88"/>
        <v>1066025-84</v>
      </c>
      <c r="D19" s="25" t="s">
        <v>56</v>
      </c>
      <c r="E19" s="34" t="s">
        <v>64</v>
      </c>
      <c r="F19" s="29">
        <v>42850</v>
      </c>
      <c r="G19" s="210" t="s">
        <v>68</v>
      </c>
      <c r="H19" s="83">
        <v>27.2</v>
      </c>
      <c r="I19" s="29">
        <v>42861</v>
      </c>
      <c r="J19" s="35">
        <v>28.6</v>
      </c>
      <c r="K19" s="35">
        <v>7.2</v>
      </c>
      <c r="L19" s="35">
        <v>5.8</v>
      </c>
      <c r="M19" s="35">
        <f t="shared" si="89"/>
        <v>125.94816</v>
      </c>
      <c r="N19" s="30">
        <f t="shared" si="37"/>
        <v>1259.4816000000001</v>
      </c>
      <c r="O19" s="30">
        <f t="shared" si="38"/>
        <v>41.98272</v>
      </c>
      <c r="P19" s="35">
        <v>0</v>
      </c>
      <c r="Q19" s="140">
        <f t="shared" si="87"/>
        <v>0</v>
      </c>
      <c r="R19" s="142">
        <f t="shared" si="90"/>
        <v>0</v>
      </c>
      <c r="S19" s="238"/>
      <c r="T19" s="239"/>
      <c r="U19" s="31"/>
      <c r="V19" s="121"/>
      <c r="W19" s="78">
        <f>6.7*5.1*5.1*0.52</f>
        <v>90.618840000000006</v>
      </c>
      <c r="X19" s="83">
        <v>127.7</v>
      </c>
      <c r="Y19" s="83">
        <v>125.94816</v>
      </c>
      <c r="Z19" s="83">
        <f>8.7*6.7*6.7*0.52</f>
        <v>203.08236000000002</v>
      </c>
      <c r="AA19" s="83">
        <f>7.2*6.3*6.3*0.52</f>
        <v>148.59935999999999</v>
      </c>
      <c r="AB19" s="83">
        <f>6.9*5.2*5.2*0.52</f>
        <v>97.019520000000014</v>
      </c>
      <c r="AC19" s="83">
        <f>8.6*6.7*6.7*0.52</f>
        <v>200.74807999999999</v>
      </c>
      <c r="AD19" s="234">
        <f>7.9*6.1*6.1*0.52</f>
        <v>152.85867999999996</v>
      </c>
      <c r="AE19" s="83">
        <f>8.3*6.6*6.6*0.52</f>
        <v>188.00496000000001</v>
      </c>
      <c r="AF19" s="83">
        <f>9.5*7.4*7.4*0.52</f>
        <v>270.51440000000002</v>
      </c>
      <c r="AG19" s="83">
        <f>12.4*9*9*0.52</f>
        <v>522.28800000000001</v>
      </c>
      <c r="AH19" s="83">
        <f>13.2*10*10*0.52</f>
        <v>686.4</v>
      </c>
      <c r="AI19" s="83">
        <f>15.3*11.4*11.4*0.52</f>
        <v>1033.9617600000001</v>
      </c>
      <c r="AJ19" s="83">
        <f>16.1*12.7*12.7*0.52</f>
        <v>1350.31988</v>
      </c>
      <c r="AK19" s="83">
        <f>17.6*12.3*12.3*0.52</f>
        <v>1384.6060800000002</v>
      </c>
      <c r="AL19" s="83">
        <f>19.8*16.2*16.2*0.52</f>
        <v>2702.0822400000002</v>
      </c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36"/>
      <c r="BR19" s="230">
        <f t="shared" si="41"/>
        <v>0.71949316290130805</v>
      </c>
      <c r="BS19" s="230">
        <f t="shared" si="42"/>
        <v>1.0139092147118307</v>
      </c>
      <c r="BT19" s="230">
        <f t="shared" si="43"/>
        <v>1</v>
      </c>
      <c r="BU19" s="230">
        <f t="shared" si="44"/>
        <v>1.6124281609195403</v>
      </c>
      <c r="BV19" s="230">
        <f t="shared" si="45"/>
        <v>1.1798454221165278</v>
      </c>
      <c r="BW19" s="230">
        <f t="shared" si="46"/>
        <v>0.77031311930241786</v>
      </c>
      <c r="BX19" s="230">
        <f t="shared" si="47"/>
        <v>1.5938945038974763</v>
      </c>
      <c r="BY19" s="230">
        <f t="shared" si="48"/>
        <v>1.2136634628088252</v>
      </c>
      <c r="BZ19" s="230">
        <f t="shared" si="49"/>
        <v>1.492717003567182</v>
      </c>
      <c r="CA19" s="230">
        <f t="shared" si="50"/>
        <v>2.1478233584357249</v>
      </c>
      <c r="CB19" s="230">
        <f t="shared" si="51"/>
        <v>4.1468489892984541</v>
      </c>
      <c r="CC19" s="230">
        <f t="shared" si="52"/>
        <v>5.4498612762584226</v>
      </c>
      <c r="CD19" s="230">
        <f t="shared" si="53"/>
        <v>8.2094233055885866</v>
      </c>
      <c r="CE19" s="230">
        <f t="shared" si="54"/>
        <v>10.721235467036596</v>
      </c>
      <c r="CF19" s="230">
        <f t="shared" si="55"/>
        <v>10.993460166468491</v>
      </c>
      <c r="CG19" s="230">
        <f t="shared" si="56"/>
        <v>21.453923900118909</v>
      </c>
      <c r="CH19" s="230" t="str">
        <f t="shared" si="57"/>
        <v/>
      </c>
      <c r="CI19" s="230" t="str">
        <f t="shared" si="58"/>
        <v/>
      </c>
      <c r="CJ19" s="230" t="str">
        <f t="shared" si="59"/>
        <v/>
      </c>
      <c r="CK19" s="230" t="str">
        <f t="shared" si="60"/>
        <v/>
      </c>
      <c r="CL19" s="230" t="str">
        <f t="shared" si="61"/>
        <v/>
      </c>
      <c r="CM19" s="230" t="str">
        <f t="shared" si="62"/>
        <v/>
      </c>
      <c r="CN19" s="230" t="str">
        <f t="shared" si="63"/>
        <v/>
      </c>
      <c r="CO19" s="230" t="str">
        <f t="shared" si="64"/>
        <v/>
      </c>
      <c r="CP19" s="230" t="str">
        <f t="shared" si="65"/>
        <v/>
      </c>
      <c r="CQ19" s="230" t="str">
        <f t="shared" si="66"/>
        <v/>
      </c>
      <c r="CR19" s="230" t="str">
        <f t="shared" si="67"/>
        <v/>
      </c>
      <c r="CS19" s="230" t="str">
        <f t="shared" si="68"/>
        <v/>
      </c>
      <c r="CT19" s="230" t="str">
        <f t="shared" si="69"/>
        <v/>
      </c>
      <c r="CU19" s="230" t="str">
        <f t="shared" si="70"/>
        <v/>
      </c>
      <c r="CV19" s="230" t="str">
        <f t="shared" si="71"/>
        <v/>
      </c>
      <c r="CW19" s="230" t="str">
        <f t="shared" si="72"/>
        <v/>
      </c>
      <c r="CX19" s="230" t="str">
        <f t="shared" si="73"/>
        <v/>
      </c>
      <c r="CY19" s="230" t="str">
        <f t="shared" si="74"/>
        <v/>
      </c>
      <c r="CZ19" s="230" t="str">
        <f t="shared" si="75"/>
        <v/>
      </c>
      <c r="DA19" s="230" t="str">
        <f t="shared" si="76"/>
        <v/>
      </c>
      <c r="DB19" s="230" t="str">
        <f t="shared" si="77"/>
        <v/>
      </c>
      <c r="DC19" s="230" t="str">
        <f t="shared" si="78"/>
        <v/>
      </c>
      <c r="DD19" s="230" t="str">
        <f t="shared" si="79"/>
        <v/>
      </c>
      <c r="DE19" s="230" t="str">
        <f t="shared" si="80"/>
        <v/>
      </c>
      <c r="DF19" s="230" t="str">
        <f t="shared" si="81"/>
        <v/>
      </c>
      <c r="DG19" s="230" t="str">
        <f t="shared" si="82"/>
        <v/>
      </c>
      <c r="DH19" s="230" t="str">
        <f t="shared" si="83"/>
        <v/>
      </c>
      <c r="DI19" s="230" t="str">
        <f t="shared" si="84"/>
        <v/>
      </c>
      <c r="DJ19" s="230" t="str">
        <f t="shared" si="85"/>
        <v/>
      </c>
      <c r="DK19" s="230" t="str">
        <f t="shared" si="86"/>
        <v/>
      </c>
    </row>
    <row r="20" spans="1:115">
      <c r="A20" s="37">
        <v>1066025</v>
      </c>
      <c r="B20" s="1">
        <v>85</v>
      </c>
      <c r="C20" s="27" t="str">
        <f t="shared" si="88"/>
        <v>1066025-85</v>
      </c>
      <c r="D20" s="25" t="s">
        <v>56</v>
      </c>
      <c r="E20" s="28" t="s">
        <v>64</v>
      </c>
      <c r="F20" s="29">
        <v>42850</v>
      </c>
      <c r="G20" s="210" t="s">
        <v>68</v>
      </c>
      <c r="H20" s="83">
        <v>26.6</v>
      </c>
      <c r="I20" s="29">
        <v>42861</v>
      </c>
      <c r="J20" s="35">
        <v>28.2</v>
      </c>
      <c r="K20" s="35">
        <v>7.8</v>
      </c>
      <c r="L20" s="35">
        <v>5.0999999999999996</v>
      </c>
      <c r="M20" s="35">
        <f t="shared" si="89"/>
        <v>105.49656</v>
      </c>
      <c r="N20" s="30">
        <f t="shared" si="37"/>
        <v>1054.9656</v>
      </c>
      <c r="O20" s="30">
        <f t="shared" si="38"/>
        <v>35.165520000000001</v>
      </c>
      <c r="P20" s="35">
        <v>0</v>
      </c>
      <c r="Q20" s="140">
        <f t="shared" si="87"/>
        <v>0</v>
      </c>
      <c r="R20" s="142">
        <f t="shared" si="90"/>
        <v>0</v>
      </c>
      <c r="S20" s="238"/>
      <c r="T20" s="239"/>
      <c r="U20" s="31"/>
      <c r="V20" s="121"/>
      <c r="W20" s="78">
        <f>5.4*4.7*4.7*0.52</f>
        <v>62.028720000000007</v>
      </c>
      <c r="X20" s="83">
        <v>74.7</v>
      </c>
      <c r="Y20" s="83">
        <v>105.49656</v>
      </c>
      <c r="Z20" s="83">
        <f>7.7*6*6*0.52</f>
        <v>144.14400000000003</v>
      </c>
      <c r="AA20" s="83">
        <f>8.2*5.7*5.7*0.52</f>
        <v>138.53736000000001</v>
      </c>
      <c r="AB20" s="83">
        <f>6.9*6.2*6.2*0.52</f>
        <v>137.92272</v>
      </c>
      <c r="AC20" s="83">
        <f>8.4*6*6*0.52</f>
        <v>157.24800000000002</v>
      </c>
      <c r="AD20" s="83">
        <f>7.8*5.7*5.7*0.52</f>
        <v>131.77944000000002</v>
      </c>
      <c r="AE20" s="83">
        <f>8.9*6.5*6.5*0.52</f>
        <v>195.53300000000002</v>
      </c>
      <c r="AF20" s="83">
        <f>10.1*7.4*7.4*0.52</f>
        <v>287.59952000000004</v>
      </c>
      <c r="AG20" s="83">
        <f>11*7.3*7.3*0.52</f>
        <v>304.81879999999995</v>
      </c>
      <c r="AH20" s="83">
        <f>12.1*8.1*8.1*0.52</f>
        <v>412.81811999999996</v>
      </c>
      <c r="AI20" s="83">
        <f>11.5*8.6*8.6*0.52</f>
        <v>442.28079999999994</v>
      </c>
      <c r="AJ20" s="83">
        <f>12.2*9.2*9.2*0.52</f>
        <v>536.95615999999984</v>
      </c>
      <c r="AK20" s="83">
        <f>13.7*9.6*9.6*0.52</f>
        <v>656.54783999999995</v>
      </c>
      <c r="AL20" s="83">
        <f>15.5*10.6*10.6*0.52</f>
        <v>905.62159999999983</v>
      </c>
      <c r="AM20" s="83">
        <f>16.5*12.8*12.8*0.52</f>
        <v>1405.7472000000002</v>
      </c>
      <c r="AN20" s="83">
        <f>17.6*14.2*14.2*0.52</f>
        <v>1845.4092800000001</v>
      </c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36"/>
      <c r="BR20" s="230">
        <f t="shared" si="41"/>
        <v>0.58796912430130432</v>
      </c>
      <c r="BS20" s="230">
        <f t="shared" si="42"/>
        <v>0.70807996014277619</v>
      </c>
      <c r="BT20" s="230">
        <f t="shared" si="43"/>
        <v>1</v>
      </c>
      <c r="BU20" s="230">
        <f t="shared" si="44"/>
        <v>1.3663383905598441</v>
      </c>
      <c r="BV20" s="230">
        <f t="shared" si="45"/>
        <v>1.3131931505633929</v>
      </c>
      <c r="BW20" s="230">
        <f t="shared" si="46"/>
        <v>1.3073669890278887</v>
      </c>
      <c r="BX20" s="230">
        <f t="shared" si="47"/>
        <v>1.4905509715198297</v>
      </c>
      <c r="BY20" s="230">
        <f t="shared" si="48"/>
        <v>1.2491349480968861</v>
      </c>
      <c r="BZ20" s="230">
        <f t="shared" si="49"/>
        <v>1.853453799820582</v>
      </c>
      <c r="CA20" s="230">
        <f t="shared" si="50"/>
        <v>2.7261506915486158</v>
      </c>
      <c r="CB20" s="230">
        <f t="shared" si="51"/>
        <v>2.8893719378148437</v>
      </c>
      <c r="CC20" s="230">
        <f t="shared" si="52"/>
        <v>3.9130955549640665</v>
      </c>
      <c r="CD20" s="230">
        <f t="shared" si="53"/>
        <v>4.1923717702264405</v>
      </c>
      <c r="CE20" s="230">
        <f t="shared" si="54"/>
        <v>5.0897978095209915</v>
      </c>
      <c r="CF20" s="230">
        <f t="shared" si="55"/>
        <v>6.2234051991837456</v>
      </c>
      <c r="CG20" s="230">
        <f t="shared" si="56"/>
        <v>8.5843709027100008</v>
      </c>
      <c r="CH20" s="230">
        <f t="shared" si="57"/>
        <v>13.325052494602669</v>
      </c>
      <c r="CI20" s="230">
        <f t="shared" si="58"/>
        <v>17.492601464919804</v>
      </c>
      <c r="CJ20" s="230" t="str">
        <f t="shared" si="59"/>
        <v/>
      </c>
      <c r="CK20" s="230" t="str">
        <f t="shared" si="60"/>
        <v/>
      </c>
      <c r="CL20" s="230" t="str">
        <f t="shared" si="61"/>
        <v/>
      </c>
      <c r="CM20" s="230" t="str">
        <f t="shared" si="62"/>
        <v/>
      </c>
      <c r="CN20" s="230" t="str">
        <f t="shared" si="63"/>
        <v/>
      </c>
      <c r="CO20" s="230" t="str">
        <f t="shared" si="64"/>
        <v/>
      </c>
      <c r="CP20" s="230" t="str">
        <f t="shared" si="65"/>
        <v/>
      </c>
      <c r="CQ20" s="230" t="str">
        <f t="shared" si="66"/>
        <v/>
      </c>
      <c r="CR20" s="230" t="str">
        <f t="shared" si="67"/>
        <v/>
      </c>
      <c r="CS20" s="230" t="str">
        <f t="shared" si="68"/>
        <v/>
      </c>
      <c r="CT20" s="230" t="str">
        <f t="shared" si="69"/>
        <v/>
      </c>
      <c r="CU20" s="230" t="str">
        <f t="shared" si="70"/>
        <v/>
      </c>
      <c r="CV20" s="230" t="str">
        <f t="shared" si="71"/>
        <v/>
      </c>
      <c r="CW20" s="230" t="str">
        <f t="shared" si="72"/>
        <v/>
      </c>
      <c r="CX20" s="230" t="str">
        <f t="shared" si="73"/>
        <v/>
      </c>
      <c r="CY20" s="230" t="str">
        <f t="shared" si="74"/>
        <v/>
      </c>
      <c r="CZ20" s="230" t="str">
        <f t="shared" si="75"/>
        <v/>
      </c>
      <c r="DA20" s="230" t="str">
        <f t="shared" si="76"/>
        <v/>
      </c>
      <c r="DB20" s="230" t="str">
        <f t="shared" si="77"/>
        <v/>
      </c>
      <c r="DC20" s="230" t="str">
        <f t="shared" si="78"/>
        <v/>
      </c>
      <c r="DD20" s="230" t="str">
        <f t="shared" si="79"/>
        <v/>
      </c>
      <c r="DE20" s="230" t="str">
        <f t="shared" si="80"/>
        <v/>
      </c>
      <c r="DF20" s="230" t="str">
        <f t="shared" si="81"/>
        <v/>
      </c>
      <c r="DG20" s="230" t="str">
        <f t="shared" si="82"/>
        <v/>
      </c>
      <c r="DH20" s="230" t="str">
        <f t="shared" si="83"/>
        <v/>
      </c>
      <c r="DI20" s="230" t="str">
        <f t="shared" si="84"/>
        <v/>
      </c>
      <c r="DJ20" s="230" t="str">
        <f t="shared" si="85"/>
        <v/>
      </c>
      <c r="DK20" s="230" t="str">
        <f t="shared" si="86"/>
        <v/>
      </c>
    </row>
    <row r="21" spans="1:115">
      <c r="A21" s="37">
        <v>1066026</v>
      </c>
      <c r="B21" s="1">
        <v>91</v>
      </c>
      <c r="C21" s="27" t="str">
        <f t="shared" si="88"/>
        <v>1066026-91</v>
      </c>
      <c r="D21" s="25" t="s">
        <v>56</v>
      </c>
      <c r="E21" s="34" t="s">
        <v>64</v>
      </c>
      <c r="F21" s="29">
        <v>42850</v>
      </c>
      <c r="G21" s="210" t="s">
        <v>68</v>
      </c>
      <c r="H21" s="83">
        <v>29.2</v>
      </c>
      <c r="I21" s="29">
        <v>42861</v>
      </c>
      <c r="J21" s="35">
        <v>29.4</v>
      </c>
      <c r="K21" s="35">
        <v>6.3</v>
      </c>
      <c r="L21" s="35">
        <v>5.6</v>
      </c>
      <c r="M21" s="35">
        <f t="shared" si="89"/>
        <v>102.73535999999999</v>
      </c>
      <c r="N21" s="30">
        <f t="shared" si="37"/>
        <v>1027.3535999999999</v>
      </c>
      <c r="O21" s="30">
        <f t="shared" si="38"/>
        <v>34.245119999999993</v>
      </c>
      <c r="P21" s="35">
        <v>0</v>
      </c>
      <c r="Q21" s="140">
        <f t="shared" si="87"/>
        <v>0</v>
      </c>
      <c r="R21" s="142">
        <f t="shared" si="90"/>
        <v>0</v>
      </c>
      <c r="S21" s="238"/>
      <c r="T21" s="239"/>
      <c r="U21" s="31"/>
      <c r="V21" s="121"/>
      <c r="W21" s="78">
        <f>5.6*4.9*4.9*0.52</f>
        <v>69.917120000000011</v>
      </c>
      <c r="X21" s="83">
        <v>81.900000000000006</v>
      </c>
      <c r="Y21" s="83">
        <v>102.73535999999999</v>
      </c>
      <c r="Z21" s="83">
        <f>7.4*7.2*7.2*0.52</f>
        <v>199.48032000000003</v>
      </c>
      <c r="AA21" s="83">
        <f>8*6.2*6.2*0.52</f>
        <v>159.91040000000004</v>
      </c>
      <c r="AB21" s="83">
        <f>7.9*6.6*6.6*0.52</f>
        <v>178.94448</v>
      </c>
      <c r="AC21" s="83">
        <f>8.8*6.7*6.7*0.52</f>
        <v>205.41664000000003</v>
      </c>
      <c r="AD21" s="83">
        <f>8.5*7.2*7.2*0.52</f>
        <v>229.13280000000003</v>
      </c>
      <c r="AE21" s="83">
        <f>9.5*6.6*6.6*0.52</f>
        <v>215.18639999999996</v>
      </c>
      <c r="AF21" s="83">
        <f>9.9*7.7*7.7*0.52</f>
        <v>305.22492</v>
      </c>
      <c r="AG21" s="83">
        <f>10.8*7.7*7.7*0.52</f>
        <v>332.97264000000007</v>
      </c>
      <c r="AH21" s="83">
        <f>11.4*9.2*9.2*0.52</f>
        <v>501.74591999999996</v>
      </c>
      <c r="AI21" s="83">
        <f>12.9*9.2*9.2*0.52</f>
        <v>567.76511999999991</v>
      </c>
      <c r="AJ21" s="83">
        <f>13.7*10.7*10.7*0.52</f>
        <v>815.62675999999988</v>
      </c>
      <c r="AK21" s="83">
        <f>13.5*9.6*9.6*0.52</f>
        <v>646.96319999999992</v>
      </c>
      <c r="AL21" s="83">
        <f>15.3*11.8*11.8*0.52</f>
        <v>1107.7934400000001</v>
      </c>
      <c r="AM21" s="83">
        <f>16.7*13.2*13.2*0.52</f>
        <v>1513.1001599999997</v>
      </c>
      <c r="AN21" s="83">
        <f>18.6*13.8*13.8*0.52</f>
        <v>1841.9356800000003</v>
      </c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36"/>
      <c r="BR21" s="230">
        <f t="shared" si="41"/>
        <v>0.6805555555555558</v>
      </c>
      <c r="BS21" s="230">
        <f t="shared" si="42"/>
        <v>0.79719387755102056</v>
      </c>
      <c r="BT21" s="230">
        <f t="shared" si="43"/>
        <v>1</v>
      </c>
      <c r="BU21" s="230">
        <f t="shared" si="44"/>
        <v>1.9416909620991261</v>
      </c>
      <c r="BV21" s="230">
        <f t="shared" si="45"/>
        <v>1.556527372853904</v>
      </c>
      <c r="BW21" s="230">
        <f t="shared" si="46"/>
        <v>1.7418002915451898</v>
      </c>
      <c r="BX21" s="230">
        <f t="shared" si="47"/>
        <v>1.9994735989633954</v>
      </c>
      <c r="BY21" s="230">
        <f t="shared" si="48"/>
        <v>2.2303206997084555</v>
      </c>
      <c r="BZ21" s="230">
        <f t="shared" si="49"/>
        <v>2.0945699708454808</v>
      </c>
      <c r="CA21" s="230">
        <f t="shared" si="50"/>
        <v>2.9709821428571432</v>
      </c>
      <c r="CB21" s="230">
        <f t="shared" si="51"/>
        <v>3.2410714285714297</v>
      </c>
      <c r="CC21" s="230">
        <f t="shared" si="52"/>
        <v>4.8838678328474252</v>
      </c>
      <c r="CD21" s="230">
        <f t="shared" si="53"/>
        <v>5.5264820213799801</v>
      </c>
      <c r="CE21" s="230">
        <f t="shared" si="54"/>
        <v>7.9391045108519593</v>
      </c>
      <c r="CF21" s="230">
        <f t="shared" si="55"/>
        <v>6.2973760932944609</v>
      </c>
      <c r="CG21" s="230">
        <f t="shared" si="56"/>
        <v>10.782981049562686</v>
      </c>
      <c r="CH21" s="230">
        <f t="shared" si="57"/>
        <v>14.728134110787172</v>
      </c>
      <c r="CI21" s="230">
        <f t="shared" si="58"/>
        <v>17.928935860058314</v>
      </c>
      <c r="CJ21" s="230" t="str">
        <f t="shared" si="59"/>
        <v/>
      </c>
      <c r="CK21" s="230" t="str">
        <f t="shared" si="60"/>
        <v/>
      </c>
      <c r="CL21" s="230" t="str">
        <f t="shared" si="61"/>
        <v/>
      </c>
      <c r="CM21" s="230" t="str">
        <f t="shared" si="62"/>
        <v/>
      </c>
      <c r="CN21" s="230" t="str">
        <f t="shared" si="63"/>
        <v/>
      </c>
      <c r="CO21" s="230" t="str">
        <f t="shared" si="64"/>
        <v/>
      </c>
      <c r="CP21" s="230" t="str">
        <f t="shared" si="65"/>
        <v/>
      </c>
      <c r="CQ21" s="230" t="str">
        <f t="shared" si="66"/>
        <v/>
      </c>
      <c r="CR21" s="230" t="str">
        <f t="shared" si="67"/>
        <v/>
      </c>
      <c r="CS21" s="230" t="str">
        <f t="shared" si="68"/>
        <v/>
      </c>
      <c r="CT21" s="230" t="str">
        <f t="shared" si="69"/>
        <v/>
      </c>
      <c r="CU21" s="230" t="str">
        <f t="shared" si="70"/>
        <v/>
      </c>
      <c r="CV21" s="230" t="str">
        <f t="shared" si="71"/>
        <v/>
      </c>
      <c r="CW21" s="230" t="str">
        <f t="shared" si="72"/>
        <v/>
      </c>
      <c r="CX21" s="230" t="str">
        <f t="shared" si="73"/>
        <v/>
      </c>
      <c r="CY21" s="230" t="str">
        <f t="shared" si="74"/>
        <v/>
      </c>
      <c r="CZ21" s="230" t="str">
        <f t="shared" si="75"/>
        <v/>
      </c>
      <c r="DA21" s="230" t="str">
        <f t="shared" si="76"/>
        <v/>
      </c>
      <c r="DB21" s="230" t="str">
        <f t="shared" si="77"/>
        <v/>
      </c>
      <c r="DC21" s="230" t="str">
        <f t="shared" si="78"/>
        <v/>
      </c>
      <c r="DD21" s="230" t="str">
        <f t="shared" si="79"/>
        <v/>
      </c>
      <c r="DE21" s="230" t="str">
        <f t="shared" si="80"/>
        <v/>
      </c>
      <c r="DF21" s="230" t="str">
        <f t="shared" si="81"/>
        <v/>
      </c>
      <c r="DG21" s="230" t="str">
        <f t="shared" si="82"/>
        <v/>
      </c>
      <c r="DH21" s="230" t="str">
        <f t="shared" si="83"/>
        <v/>
      </c>
      <c r="DI21" s="230" t="str">
        <f t="shared" si="84"/>
        <v/>
      </c>
      <c r="DJ21" s="230" t="str">
        <f t="shared" si="85"/>
        <v/>
      </c>
      <c r="DK21" s="230" t="str">
        <f t="shared" si="86"/>
        <v/>
      </c>
    </row>
    <row r="22" spans="1:115">
      <c r="A22" s="37">
        <v>1066026</v>
      </c>
      <c r="B22" s="1">
        <v>92</v>
      </c>
      <c r="C22" s="27" t="str">
        <f t="shared" si="88"/>
        <v>1066026-92</v>
      </c>
      <c r="D22" s="25" t="s">
        <v>56</v>
      </c>
      <c r="E22" s="34" t="s">
        <v>64</v>
      </c>
      <c r="F22" s="29">
        <v>42850</v>
      </c>
      <c r="G22" s="210" t="s">
        <v>68</v>
      </c>
      <c r="H22" s="83">
        <v>28.5</v>
      </c>
      <c r="I22" s="29">
        <v>42861</v>
      </c>
      <c r="J22" s="35">
        <v>30.7</v>
      </c>
      <c r="K22" s="35">
        <v>7.7</v>
      </c>
      <c r="L22" s="35">
        <v>5.6</v>
      </c>
      <c r="M22" s="35">
        <f t="shared" si="89"/>
        <v>125.56544</v>
      </c>
      <c r="N22" s="30">
        <f t="shared" si="37"/>
        <v>1255.6543999999999</v>
      </c>
      <c r="O22" s="30">
        <f t="shared" si="38"/>
        <v>41.855146666666663</v>
      </c>
      <c r="P22" s="35">
        <v>0</v>
      </c>
      <c r="Q22" s="140">
        <f t="shared" si="87"/>
        <v>0</v>
      </c>
      <c r="R22" s="142">
        <f t="shared" si="90"/>
        <v>0</v>
      </c>
      <c r="S22" s="238"/>
      <c r="T22" s="239"/>
      <c r="U22" s="31"/>
      <c r="V22" s="121"/>
      <c r="W22" s="78">
        <f>6.8*4.7*4.7*0.52</f>
        <v>78.110240000000019</v>
      </c>
      <c r="X22" s="83">
        <v>92.3</v>
      </c>
      <c r="Y22" s="83">
        <v>125.56544</v>
      </c>
      <c r="Z22" s="83">
        <f>7.7*6.3*6.3*0.52</f>
        <v>158.91875999999999</v>
      </c>
      <c r="AA22" s="83">
        <f>8.5*6.1*6.1*0.52</f>
        <v>164.4682</v>
      </c>
      <c r="AB22" s="83">
        <f>8.1*6.3*6.3*0.52</f>
        <v>167.17427999999998</v>
      </c>
      <c r="AC22" s="83">
        <f>7.5*6.6*6.6*0.52</f>
        <v>169.88399999999999</v>
      </c>
      <c r="AD22" s="83">
        <f>8.8*6.7*6.7*0.52</f>
        <v>205.41664000000003</v>
      </c>
      <c r="AE22" s="83">
        <f>8.6*6.8*6.8*0.52</f>
        <v>206.78528</v>
      </c>
      <c r="AF22" s="83">
        <f>10.5*7.5*7.5*0.52</f>
        <v>307.125</v>
      </c>
      <c r="AG22" s="83">
        <f>10.4*8.2*8.2*0.52</f>
        <v>363.63391999999999</v>
      </c>
      <c r="AH22" s="83">
        <f>12.2*8.6*8.6*0.52</f>
        <v>469.20223999999996</v>
      </c>
      <c r="AI22" s="83">
        <f>14.3*9.8*9.8*0.52</f>
        <v>714.15344000000016</v>
      </c>
      <c r="AJ22" s="83">
        <f>13.5*10.1*10.1*0.52</f>
        <v>716.11019999999996</v>
      </c>
      <c r="AK22" s="83">
        <f>13.6*9.5*9.5*0.52</f>
        <v>638.24799999999993</v>
      </c>
      <c r="AL22" s="83">
        <f>14.7*10.5*10.5*0.52</f>
        <v>842.75099999999998</v>
      </c>
      <c r="AM22" s="83">
        <f>15.3*11.2*11.2*0.52</f>
        <v>998.00063999999986</v>
      </c>
      <c r="AN22" s="83">
        <f>16*11.9*11.9*0.52</f>
        <v>1178.1952000000001</v>
      </c>
      <c r="AO22" s="83">
        <f>14.7*9.4*9.4*0.52</f>
        <v>675.42384000000004</v>
      </c>
      <c r="AP22" s="83">
        <f>12.9*9.1*9.1*0.52</f>
        <v>555.48948000000007</v>
      </c>
      <c r="AQ22" s="83">
        <f>11.8*8.8*8.8*0.52</f>
        <v>475.17184000000015</v>
      </c>
      <c r="AR22" s="83">
        <f>11.7*8.2*8.2*0.52</f>
        <v>409.0881599999999</v>
      </c>
      <c r="AS22" s="83">
        <f>10.3*7.7*7.7*0.52</f>
        <v>317.55724000000004</v>
      </c>
      <c r="AT22" s="83">
        <f>6.8*4.3*4.3*0.52</f>
        <v>65.38064</v>
      </c>
      <c r="AU22" s="83">
        <f>6.7*4.4*4.4*0.52</f>
        <v>67.450240000000008</v>
      </c>
      <c r="AV22" s="83">
        <f>9*5.3*5.3*0.52</f>
        <v>131.46119999999999</v>
      </c>
      <c r="AW22" s="83">
        <f>7.3*4.3*4.3*0.52</f>
        <v>70.188039999999987</v>
      </c>
      <c r="AX22" s="83">
        <f>7.7*5.5*5.5*0.52</f>
        <v>121.12100000000001</v>
      </c>
      <c r="AY22" s="83">
        <f>6.7*6.3*6.3*0.52</f>
        <v>138.27996000000002</v>
      </c>
      <c r="AZ22" s="83">
        <f>8.7*6.3*6.3*0.52</f>
        <v>179.55755999999997</v>
      </c>
      <c r="BA22" s="83">
        <f>8.2*5.7*5.7*0.52</f>
        <v>138.53736000000001</v>
      </c>
      <c r="BB22" s="83">
        <f>8.6*5.8*5.8*0.52</f>
        <v>150.43807999999999</v>
      </c>
      <c r="BC22" s="83">
        <f>7.3*7.1*7.1*0.52</f>
        <v>191.35636</v>
      </c>
      <c r="BD22" s="83">
        <f>9.2*7.2*7.2*0.52</f>
        <v>248.00256000000002</v>
      </c>
      <c r="BE22" s="83">
        <f>8.3*6.3*6.3*0.52</f>
        <v>171.30204000000001</v>
      </c>
      <c r="BF22" s="83">
        <f>8.6*5.8*5.8*0.52</f>
        <v>150.43807999999999</v>
      </c>
      <c r="BG22" s="83">
        <f>8.2*5.9*5.9*0.52</f>
        <v>148.42984000000001</v>
      </c>
      <c r="BH22" s="83">
        <f>7.7*6.4*6.4*0.52</f>
        <v>164.00384000000003</v>
      </c>
      <c r="BI22" s="83">
        <f>9.1*5.2*5.2*0.52</f>
        <v>127.95328000000002</v>
      </c>
      <c r="BJ22" s="83">
        <f>7.4*5.1*5.1*0.52</f>
        <v>100.08647999999999</v>
      </c>
      <c r="BK22" s="83">
        <f>9.2*6*6*0.52</f>
        <v>172.22399999999999</v>
      </c>
      <c r="BL22" s="83">
        <f>8.5*6.1*6.1*0.52</f>
        <v>164.4682</v>
      </c>
      <c r="BM22" s="83">
        <f>10.8*5.6*5.6*0.52</f>
        <v>176.11776</v>
      </c>
      <c r="BN22" s="83">
        <f>9.4*5.2*5.2*0.52</f>
        <v>132.17152000000002</v>
      </c>
      <c r="BO22" s="83"/>
      <c r="BP22" s="83"/>
      <c r="BQ22" s="36"/>
      <c r="BR22" s="230">
        <f t="shared" si="41"/>
        <v>0.62206798303737099</v>
      </c>
      <c r="BS22" s="230">
        <f t="shared" si="42"/>
        <v>0.73507487410548633</v>
      </c>
      <c r="BT22" s="230">
        <f t="shared" si="43"/>
        <v>1</v>
      </c>
      <c r="BU22" s="230">
        <f t="shared" si="44"/>
        <v>1.265625</v>
      </c>
      <c r="BV22" s="230">
        <f t="shared" si="45"/>
        <v>1.3098206003180493</v>
      </c>
      <c r="BW22" s="230">
        <f t="shared" si="46"/>
        <v>1.3313717532467531</v>
      </c>
      <c r="BX22" s="230">
        <f t="shared" si="47"/>
        <v>1.3529518950437318</v>
      </c>
      <c r="BY22" s="230">
        <f t="shared" si="48"/>
        <v>1.6359329446064144</v>
      </c>
      <c r="BZ22" s="230">
        <f t="shared" si="49"/>
        <v>1.646832759077657</v>
      </c>
      <c r="CA22" s="230">
        <f t="shared" si="50"/>
        <v>2.4459357606679037</v>
      </c>
      <c r="CB22" s="230">
        <f t="shared" si="51"/>
        <v>2.8959713755632124</v>
      </c>
      <c r="CC22" s="230">
        <f t="shared" si="52"/>
        <v>3.7367148157964483</v>
      </c>
      <c r="CD22" s="230">
        <f t="shared" si="53"/>
        <v>5.6875000000000018</v>
      </c>
      <c r="CE22" s="230">
        <f t="shared" si="54"/>
        <v>5.7030835873310366</v>
      </c>
      <c r="CF22" s="230">
        <f t="shared" si="55"/>
        <v>5.0829909886032327</v>
      </c>
      <c r="CG22" s="230">
        <f t="shared" si="56"/>
        <v>6.7116477272727275</v>
      </c>
      <c r="CH22" s="230">
        <f t="shared" si="57"/>
        <v>7.9480519480519476</v>
      </c>
      <c r="CI22" s="230">
        <f t="shared" si="58"/>
        <v>9.3831168831168839</v>
      </c>
      <c r="CJ22" s="230">
        <f t="shared" si="59"/>
        <v>5.3790584415584419</v>
      </c>
      <c r="CK22" s="230">
        <f t="shared" si="60"/>
        <v>4.4239042207792219</v>
      </c>
      <c r="CL22" s="230">
        <f t="shared" si="61"/>
        <v>3.784256559766765</v>
      </c>
      <c r="CM22" s="230">
        <f t="shared" si="62"/>
        <v>3.2579677975086132</v>
      </c>
      <c r="CN22" s="230">
        <f t="shared" si="63"/>
        <v>2.5290178571428577</v>
      </c>
      <c r="CO22" s="230">
        <f t="shared" si="64"/>
        <v>0.52068976941425926</v>
      </c>
      <c r="CP22" s="230">
        <f t="shared" si="65"/>
        <v>0.53717201166180761</v>
      </c>
      <c r="CQ22" s="230">
        <f t="shared" si="66"/>
        <v>1.046953684071031</v>
      </c>
      <c r="CR22" s="230">
        <f t="shared" si="67"/>
        <v>0.5589757818711899</v>
      </c>
      <c r="CS22" s="230">
        <f t="shared" si="68"/>
        <v>0.96460459183673486</v>
      </c>
      <c r="CT22" s="230">
        <f t="shared" si="69"/>
        <v>1.101258116883117</v>
      </c>
      <c r="CU22" s="230">
        <f t="shared" si="70"/>
        <v>1.429991883116883</v>
      </c>
      <c r="CV22" s="230">
        <f t="shared" si="71"/>
        <v>1.1033080439968197</v>
      </c>
      <c r="CW22" s="230">
        <f t="shared" si="72"/>
        <v>1.1980850781871188</v>
      </c>
      <c r="CX22" s="230">
        <f t="shared" si="73"/>
        <v>1.5239572289954944</v>
      </c>
      <c r="CY22" s="230">
        <f t="shared" si="74"/>
        <v>1.9750861383514446</v>
      </c>
      <c r="CZ22" s="230">
        <f t="shared" si="75"/>
        <v>1.3642451298701299</v>
      </c>
      <c r="DA22" s="230">
        <f t="shared" si="76"/>
        <v>1.1980850781871188</v>
      </c>
      <c r="DB22" s="230">
        <f t="shared" si="77"/>
        <v>1.1820915054333423</v>
      </c>
      <c r="DC22" s="230">
        <f t="shared" si="78"/>
        <v>1.3061224489795922</v>
      </c>
      <c r="DD22" s="230">
        <f t="shared" si="79"/>
        <v>1.0190166975881263</v>
      </c>
      <c r="DE22" s="230">
        <f t="shared" si="80"/>
        <v>0.79708620461171475</v>
      </c>
      <c r="DF22" s="230">
        <f t="shared" si="81"/>
        <v>1.371587596077392</v>
      </c>
      <c r="DG22" s="230">
        <f t="shared" si="82"/>
        <v>1.3098206003180493</v>
      </c>
      <c r="DH22" s="230">
        <f t="shared" si="83"/>
        <v>1.4025974025974026</v>
      </c>
      <c r="DI22" s="230">
        <f t="shared" si="84"/>
        <v>1.0526106546514711</v>
      </c>
      <c r="DJ22" s="230" t="str">
        <f t="shared" si="85"/>
        <v/>
      </c>
      <c r="DK22" s="230" t="str">
        <f t="shared" si="86"/>
        <v/>
      </c>
    </row>
    <row r="23" spans="1:115">
      <c r="A23" s="37">
        <v>1066026</v>
      </c>
      <c r="B23" s="1">
        <v>93</v>
      </c>
      <c r="C23" s="27" t="str">
        <f t="shared" si="88"/>
        <v>1066026-93</v>
      </c>
      <c r="D23" s="25" t="s">
        <v>56</v>
      </c>
      <c r="E23" s="34" t="s">
        <v>65</v>
      </c>
      <c r="F23" s="29">
        <v>42850</v>
      </c>
      <c r="G23" s="210" t="s">
        <v>68</v>
      </c>
      <c r="H23" s="83">
        <v>27.3</v>
      </c>
      <c r="I23" s="29">
        <v>42861</v>
      </c>
      <c r="J23" s="35">
        <v>27.6</v>
      </c>
      <c r="K23" s="35">
        <v>6.1</v>
      </c>
      <c r="L23" s="35">
        <v>5.5</v>
      </c>
      <c r="M23" s="35">
        <f t="shared" si="89"/>
        <v>95.952999999999989</v>
      </c>
      <c r="N23" s="30">
        <f t="shared" si="37"/>
        <v>959.52999999999986</v>
      </c>
      <c r="O23" s="30">
        <f t="shared" si="38"/>
        <v>31.984333333333328</v>
      </c>
      <c r="P23" s="35">
        <v>691</v>
      </c>
      <c r="Q23" s="140">
        <f t="shared" si="87"/>
        <v>7.2014423728283647</v>
      </c>
      <c r="R23" s="142">
        <f t="shared" si="90"/>
        <v>0.7201442372828365</v>
      </c>
      <c r="S23" s="238">
        <v>100</v>
      </c>
      <c r="T23" s="239"/>
      <c r="U23" s="31"/>
      <c r="V23" s="121"/>
      <c r="W23" s="78">
        <f>5.9*4.5*4.5*0.52</f>
        <v>62.12700000000001</v>
      </c>
      <c r="X23" s="83">
        <v>123.3</v>
      </c>
      <c r="Y23" s="83">
        <v>95.952999999999989</v>
      </c>
      <c r="Z23" s="83">
        <f>7.7*6.2*6.2*0.52</f>
        <v>153.91376</v>
      </c>
      <c r="AA23" s="83">
        <f>7.6*6.2*6.2*0.52</f>
        <v>151.91488000000001</v>
      </c>
      <c r="AB23" s="83">
        <f>7.6*5.6*5.6*0.52</f>
        <v>123.93471999999998</v>
      </c>
      <c r="AC23" s="83">
        <f>7.3*5.2*5.2*0.52</f>
        <v>102.64384000000001</v>
      </c>
      <c r="AD23" s="83">
        <f>7*4.5*4.5*0.52</f>
        <v>73.710000000000008</v>
      </c>
      <c r="AE23" s="83">
        <f>5.2*4.9*4.9*0.52</f>
        <v>64.923040000000015</v>
      </c>
      <c r="AF23" s="83">
        <f>0</f>
        <v>0</v>
      </c>
      <c r="AG23" s="83">
        <f>0</f>
        <v>0</v>
      </c>
      <c r="AH23" s="83">
        <f>0</f>
        <v>0</v>
      </c>
      <c r="AI23" s="83">
        <f>2.5*1.8*1.8*0.52</f>
        <v>4.2119999999999997</v>
      </c>
      <c r="AJ23" s="83">
        <f>0</f>
        <v>0</v>
      </c>
      <c r="AK23" s="83">
        <v>0</v>
      </c>
      <c r="AL23" s="83">
        <f>0</f>
        <v>0</v>
      </c>
      <c r="AM23" s="83">
        <f>3.2*3.2*3.2*0.52</f>
        <v>17.039360000000006</v>
      </c>
      <c r="AN23" s="83">
        <f>5.5*4.8*4.8*0.52</f>
        <v>65.89439999999999</v>
      </c>
      <c r="AO23" s="83">
        <f>4.8*4.6*4.6*0.52</f>
        <v>52.815359999999991</v>
      </c>
      <c r="AP23" s="83">
        <f>6.1*4.4*4.4*0.52</f>
        <v>61.409920000000007</v>
      </c>
      <c r="AQ23" s="83">
        <f>7.6*6.9*6.9*0.52</f>
        <v>188.15472000000003</v>
      </c>
      <c r="AR23" s="83">
        <f>11.3*8.2*8.2*0.52</f>
        <v>395.10223999999994</v>
      </c>
      <c r="AS23" s="83">
        <f>10.2*9.3*9.3*0.52</f>
        <v>458.74296000000004</v>
      </c>
      <c r="AT23" s="83">
        <f>10.2*9.5*9.5*0.52</f>
        <v>478.68599999999998</v>
      </c>
      <c r="AU23" s="83">
        <f>13*11.4*11.4*0.52</f>
        <v>878.52960000000019</v>
      </c>
      <c r="AV23" s="83">
        <f>14*12.3*12.3*0.52</f>
        <v>1101.3912000000003</v>
      </c>
      <c r="AW23" s="83">
        <f>13.1*13*13*0.52</f>
        <v>1151.2279999999998</v>
      </c>
      <c r="AX23" s="83">
        <f>14.2*13.8*13.8*0.52</f>
        <v>1406.2089600000002</v>
      </c>
      <c r="AY23" s="83">
        <f>16.1*15.8*15.8*0.52</f>
        <v>2089.9860800000006</v>
      </c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36"/>
      <c r="BR23" s="230">
        <f t="shared" si="41"/>
        <v>0.64747324210811563</v>
      </c>
      <c r="BS23" s="230">
        <f t="shared" si="42"/>
        <v>1.2850041165987516</v>
      </c>
      <c r="BT23" s="230">
        <f t="shared" si="43"/>
        <v>1</v>
      </c>
      <c r="BU23" s="230">
        <f t="shared" si="44"/>
        <v>1.6040536512667662</v>
      </c>
      <c r="BV23" s="230">
        <f t="shared" si="45"/>
        <v>1.5832217856658992</v>
      </c>
      <c r="BW23" s="230">
        <f t="shared" si="46"/>
        <v>1.2916190218127626</v>
      </c>
      <c r="BX23" s="230">
        <f t="shared" si="47"/>
        <v>1.0697303888362013</v>
      </c>
      <c r="BY23" s="230">
        <f t="shared" si="48"/>
        <v>0.76818859233166259</v>
      </c>
      <c r="BZ23" s="230">
        <f t="shared" si="49"/>
        <v>0.67661292507790294</v>
      </c>
      <c r="CA23" s="230">
        <f t="shared" si="50"/>
        <v>0</v>
      </c>
      <c r="CB23" s="230">
        <f t="shared" si="51"/>
        <v>0</v>
      </c>
      <c r="CC23" s="230">
        <f t="shared" si="52"/>
        <v>0</v>
      </c>
      <c r="CD23" s="230">
        <f t="shared" si="53"/>
        <v>4.3896490990380711E-2</v>
      </c>
      <c r="CE23" s="230">
        <f t="shared" si="54"/>
        <v>0</v>
      </c>
      <c r="CF23" s="230">
        <f t="shared" si="55"/>
        <v>0</v>
      </c>
      <c r="CG23" s="230">
        <f t="shared" si="56"/>
        <v>0</v>
      </c>
      <c r="CH23" s="230">
        <f t="shared" si="57"/>
        <v>0.17758027367565379</v>
      </c>
      <c r="CI23" s="230">
        <f t="shared" si="58"/>
        <v>0.68673621460506706</v>
      </c>
      <c r="CJ23" s="230">
        <f t="shared" si="59"/>
        <v>0.55042948110012191</v>
      </c>
      <c r="CK23" s="230">
        <f t="shared" si="60"/>
        <v>0.64000000000000012</v>
      </c>
      <c r="CL23" s="230">
        <f t="shared" si="61"/>
        <v>1.960905026419185</v>
      </c>
      <c r="CM23" s="230">
        <f t="shared" si="62"/>
        <v>4.1176642731337214</v>
      </c>
      <c r="CN23" s="230">
        <f t="shared" si="63"/>
        <v>4.7809131553989985</v>
      </c>
      <c r="CO23" s="230">
        <f t="shared" si="64"/>
        <v>4.9887549112586376</v>
      </c>
      <c r="CP23" s="230">
        <f t="shared" si="65"/>
        <v>9.1558325430158547</v>
      </c>
      <c r="CQ23" s="230">
        <f t="shared" si="66"/>
        <v>11.478444655195776</v>
      </c>
      <c r="CR23" s="230">
        <f t="shared" si="67"/>
        <v>11.997832272049857</v>
      </c>
      <c r="CS23" s="230">
        <f t="shared" si="68"/>
        <v>14.65518493429075</v>
      </c>
      <c r="CT23" s="230">
        <f t="shared" si="69"/>
        <v>21.78135212030891</v>
      </c>
      <c r="CU23" s="230" t="str">
        <f t="shared" si="70"/>
        <v/>
      </c>
      <c r="CV23" s="230" t="str">
        <f t="shared" si="71"/>
        <v/>
      </c>
      <c r="CW23" s="230" t="str">
        <f t="shared" si="72"/>
        <v/>
      </c>
      <c r="CX23" s="230" t="str">
        <f t="shared" si="73"/>
        <v/>
      </c>
      <c r="CY23" s="230" t="str">
        <f t="shared" si="74"/>
        <v/>
      </c>
      <c r="CZ23" s="230" t="str">
        <f t="shared" si="75"/>
        <v/>
      </c>
      <c r="DA23" s="230" t="str">
        <f t="shared" si="76"/>
        <v/>
      </c>
      <c r="DB23" s="230" t="str">
        <f t="shared" si="77"/>
        <v/>
      </c>
      <c r="DC23" s="230" t="str">
        <f t="shared" si="78"/>
        <v/>
      </c>
      <c r="DD23" s="230" t="str">
        <f t="shared" si="79"/>
        <v/>
      </c>
      <c r="DE23" s="230" t="str">
        <f t="shared" si="80"/>
        <v/>
      </c>
      <c r="DF23" s="230" t="str">
        <f t="shared" si="81"/>
        <v/>
      </c>
      <c r="DG23" s="230" t="str">
        <f t="shared" si="82"/>
        <v/>
      </c>
      <c r="DH23" s="230" t="str">
        <f t="shared" si="83"/>
        <v/>
      </c>
      <c r="DI23" s="230" t="str">
        <f t="shared" si="84"/>
        <v/>
      </c>
      <c r="DJ23" s="230" t="str">
        <f t="shared" si="85"/>
        <v/>
      </c>
      <c r="DK23" s="230" t="str">
        <f t="shared" si="86"/>
        <v/>
      </c>
    </row>
    <row r="24" spans="1:115">
      <c r="A24" s="37">
        <v>1066026</v>
      </c>
      <c r="B24" s="1">
        <v>94</v>
      </c>
      <c r="C24" s="27" t="str">
        <f t="shared" si="88"/>
        <v>1066026-94</v>
      </c>
      <c r="D24" s="25" t="s">
        <v>56</v>
      </c>
      <c r="E24" s="34" t="s">
        <v>65</v>
      </c>
      <c r="F24" s="29">
        <v>42850</v>
      </c>
      <c r="G24" s="210" t="s">
        <v>68</v>
      </c>
      <c r="H24" s="83">
        <v>28.1</v>
      </c>
      <c r="I24" s="29">
        <v>42861</v>
      </c>
      <c r="J24" s="35">
        <v>28.7</v>
      </c>
      <c r="K24" s="35">
        <v>7.9</v>
      </c>
      <c r="L24" s="35">
        <v>6.3</v>
      </c>
      <c r="M24" s="35">
        <f t="shared" si="89"/>
        <v>163.04651999999999</v>
      </c>
      <c r="N24" s="30">
        <f t="shared" si="37"/>
        <v>1630.4651999999999</v>
      </c>
      <c r="O24" s="30">
        <f t="shared" si="38"/>
        <v>54.348839999999996</v>
      </c>
      <c r="P24" s="35">
        <v>1056</v>
      </c>
      <c r="Q24" s="140">
        <f t="shared" si="87"/>
        <v>6.4766791710733846</v>
      </c>
      <c r="R24" s="142">
        <f t="shared" si="90"/>
        <v>0.64766791710733851</v>
      </c>
      <c r="S24" s="238">
        <v>100</v>
      </c>
      <c r="T24" s="239"/>
      <c r="U24" s="31"/>
      <c r="V24" s="121"/>
      <c r="W24" s="78">
        <f>6.3*5.2*5.2*0.52</f>
        <v>88.583040000000011</v>
      </c>
      <c r="X24" s="83">
        <v>78.099999999999994</v>
      </c>
      <c r="Y24" s="83">
        <v>163.04651999999999</v>
      </c>
      <c r="Z24" s="83">
        <f>10*7.3*7.3*0.52</f>
        <v>277.108</v>
      </c>
      <c r="AA24" s="83">
        <f>8.2*6.9*6.9*0.52</f>
        <v>203.00904</v>
      </c>
      <c r="AB24" s="83">
        <f>6.7*6.2*6.2*0.52</f>
        <v>133.92496</v>
      </c>
      <c r="AC24" s="83">
        <f>6.5*5.6*5.6*0.52</f>
        <v>105.99679999999999</v>
      </c>
      <c r="AD24" s="83">
        <f>6.4*5.7*5.7*0.52</f>
        <v>108.12672000000002</v>
      </c>
      <c r="AE24" s="83">
        <f>5.8*5.1*5.1*0.52</f>
        <v>78.446159999999992</v>
      </c>
      <c r="AF24" s="83">
        <f>3.7*3.2*3.2*0.52</f>
        <v>19.701760000000004</v>
      </c>
      <c r="AG24" s="83">
        <f>0</f>
        <v>0</v>
      </c>
      <c r="AH24" s="83">
        <f>3.6*2.5*2.5*0.52</f>
        <v>11.700000000000001</v>
      </c>
      <c r="AI24" s="83">
        <f>0</f>
        <v>0</v>
      </c>
      <c r="AJ24" s="83">
        <f>3.2*3.1*3.1*0.52</f>
        <v>15.991040000000003</v>
      </c>
      <c r="AK24" s="83">
        <v>0</v>
      </c>
      <c r="AL24" s="83">
        <v>0</v>
      </c>
      <c r="AM24" s="83">
        <f>3.2*2.5*2.5*0.52</f>
        <v>10.4</v>
      </c>
      <c r="AN24" s="83">
        <f>2.4*1.9*1.9*0.52</f>
        <v>4.50528</v>
      </c>
      <c r="AO24" s="83">
        <f>3.7*3.4*3.4*0.52</f>
        <v>22.241440000000001</v>
      </c>
      <c r="AP24" s="83">
        <f>3.9*3.4*3.4*0.52</f>
        <v>23.443680000000001</v>
      </c>
      <c r="AQ24" s="83">
        <f>5.1*3.5*3.5*0.52</f>
        <v>32.486999999999995</v>
      </c>
      <c r="AR24" s="83">
        <f>9*5.2*5.2*0.52</f>
        <v>126.54720000000003</v>
      </c>
      <c r="AS24" s="83">
        <f>8.3*5.4*5.4*0.52</f>
        <v>125.85456000000003</v>
      </c>
      <c r="AT24" s="83">
        <f>5.8*5*5*0.52</f>
        <v>75.400000000000006</v>
      </c>
      <c r="AU24" s="83">
        <f>6.5*6.1*6.1*0.52</f>
        <v>125.76979999999999</v>
      </c>
      <c r="AV24" s="83">
        <f>7.5*6.6*6.6*0.52</f>
        <v>169.88399999999999</v>
      </c>
      <c r="AW24" s="83">
        <f>7.4*6.7*6.7*0.52</f>
        <v>172.73672000000002</v>
      </c>
      <c r="AX24" s="83">
        <f>10.5*7.7*7.7*0.52</f>
        <v>323.72340000000003</v>
      </c>
      <c r="AY24" s="83">
        <f>8.9*7.5*7.5*0.52</f>
        <v>260.32499999999999</v>
      </c>
      <c r="AZ24" s="83">
        <f>10.2*8.4*8.4*0.52</f>
        <v>374.25024000000002</v>
      </c>
      <c r="BA24" s="83">
        <f>9.6*8.6*8.6*0.52</f>
        <v>369.20831999999996</v>
      </c>
      <c r="BB24" s="83">
        <f>9.7*8.8*8.8*0.52</f>
        <v>390.60736000000003</v>
      </c>
      <c r="BC24" s="83">
        <f>10.9*10.2*10.2*0.52</f>
        <v>589.69871999999998</v>
      </c>
      <c r="BD24" s="83">
        <f>12.3*10.1*10.1*0.52</f>
        <v>652.45596</v>
      </c>
      <c r="BE24" s="83">
        <f>11.8*10.7*10.7*0.52</f>
        <v>702.51063999999997</v>
      </c>
      <c r="BF24" s="83">
        <f>14.1*11.9*11.9*0.52</f>
        <v>1038.2845200000002</v>
      </c>
      <c r="BG24" s="83">
        <f>15.5*11.8*11.8*0.52</f>
        <v>1122.2744000000002</v>
      </c>
      <c r="BH24" s="83">
        <f>14.9*13.1*13.1*0.52</f>
        <v>1329.63428</v>
      </c>
      <c r="BI24" s="83">
        <f>15.7*14.5*14.5*0.52</f>
        <v>1716.481</v>
      </c>
      <c r="BJ24" s="83"/>
      <c r="BK24" s="83"/>
      <c r="BL24" s="83"/>
      <c r="BM24" s="83"/>
      <c r="BN24" s="83"/>
      <c r="BO24" s="83"/>
      <c r="BP24" s="83"/>
      <c r="BQ24" s="36"/>
      <c r="BR24" s="230">
        <f t="shared" si="41"/>
        <v>0.54329917621056878</v>
      </c>
      <c r="BS24" s="230">
        <f t="shared" si="42"/>
        <v>0.47900439702730241</v>
      </c>
      <c r="BT24" s="230">
        <f t="shared" si="43"/>
        <v>1</v>
      </c>
      <c r="BU24" s="230">
        <f t="shared" si="44"/>
        <v>1.6995640262668594</v>
      </c>
      <c r="BV24" s="230">
        <f t="shared" si="45"/>
        <v>1.2450988834352308</v>
      </c>
      <c r="BW24" s="230">
        <f t="shared" si="46"/>
        <v>0.82139109746101913</v>
      </c>
      <c r="BX24" s="230">
        <f t="shared" si="47"/>
        <v>0.65010157837162053</v>
      </c>
      <c r="BY24" s="230">
        <f t="shared" si="48"/>
        <v>0.66316484399667053</v>
      </c>
      <c r="BZ24" s="230">
        <f t="shared" si="49"/>
        <v>0.48112747208588075</v>
      </c>
      <c r="CA24" s="230">
        <f t="shared" si="50"/>
        <v>0.12083520703171098</v>
      </c>
      <c r="CB24" s="230">
        <f t="shared" si="51"/>
        <v>0</v>
      </c>
      <c r="CC24" s="230">
        <f t="shared" si="52"/>
        <v>7.1758661270415358E-2</v>
      </c>
      <c r="CD24" s="230">
        <f t="shared" si="53"/>
        <v>0</v>
      </c>
      <c r="CE24" s="230">
        <f t="shared" si="54"/>
        <v>9.807654895056947E-2</v>
      </c>
      <c r="CF24" s="230">
        <f t="shared" si="55"/>
        <v>0</v>
      </c>
      <c r="CG24" s="230">
        <f t="shared" si="56"/>
        <v>0</v>
      </c>
      <c r="CH24" s="230">
        <f t="shared" si="57"/>
        <v>6.3785476684813644E-2</v>
      </c>
      <c r="CI24" s="230">
        <f t="shared" si="58"/>
        <v>2.7631868499861267E-2</v>
      </c>
      <c r="CJ24" s="230">
        <f t="shared" si="59"/>
        <v>0.13641162043814245</v>
      </c>
      <c r="CK24" s="230">
        <f t="shared" si="60"/>
        <v>0.1437852215429069</v>
      </c>
      <c r="CL24" s="230">
        <f t="shared" si="61"/>
        <v>0.19924988279418657</v>
      </c>
      <c r="CM24" s="230">
        <f t="shared" si="62"/>
        <v>0.77614168030081254</v>
      </c>
      <c r="CN24" s="230">
        <f t="shared" si="63"/>
        <v>0.77189356755360394</v>
      </c>
      <c r="CO24" s="230">
        <f t="shared" si="64"/>
        <v>0.46244470596489895</v>
      </c>
      <c r="CP24" s="230">
        <f t="shared" si="65"/>
        <v>0.77137371591862247</v>
      </c>
      <c r="CQ24" s="230">
        <f t="shared" si="66"/>
        <v>1.0419357616464306</v>
      </c>
      <c r="CR24" s="230">
        <f t="shared" si="67"/>
        <v>1.0594321179010753</v>
      </c>
      <c r="CS24" s="230">
        <f t="shared" si="68"/>
        <v>1.9854664791373655</v>
      </c>
      <c r="CT24" s="230">
        <f t="shared" si="69"/>
        <v>1.5966302132667414</v>
      </c>
      <c r="CU24" s="230">
        <f t="shared" si="70"/>
        <v>2.2953586497890299</v>
      </c>
      <c r="CV24" s="230">
        <f t="shared" si="71"/>
        <v>2.2644354506922317</v>
      </c>
      <c r="CW24" s="230">
        <f t="shared" si="72"/>
        <v>2.3956804475189046</v>
      </c>
      <c r="CX24" s="230">
        <f t="shared" si="73"/>
        <v>3.6167513418869661</v>
      </c>
      <c r="CY24" s="230">
        <f t="shared" si="74"/>
        <v>4.0016552331199708</v>
      </c>
      <c r="CZ24" s="230">
        <f t="shared" si="75"/>
        <v>4.3086515431301446</v>
      </c>
      <c r="DA24" s="230">
        <f t="shared" si="76"/>
        <v>6.3680262541022046</v>
      </c>
      <c r="DB24" s="230">
        <f t="shared" si="77"/>
        <v>6.8831545745349265</v>
      </c>
      <c r="DC24" s="230">
        <f t="shared" si="78"/>
        <v>8.154938112141247</v>
      </c>
      <c r="DD24" s="230">
        <f t="shared" si="79"/>
        <v>10.527553731290924</v>
      </c>
      <c r="DE24" s="230" t="str">
        <f t="shared" si="80"/>
        <v/>
      </c>
      <c r="DF24" s="230" t="str">
        <f t="shared" si="81"/>
        <v/>
      </c>
      <c r="DG24" s="230" t="str">
        <f t="shared" si="82"/>
        <v/>
      </c>
      <c r="DH24" s="230" t="str">
        <f t="shared" si="83"/>
        <v/>
      </c>
      <c r="DI24" s="230" t="str">
        <f t="shared" si="84"/>
        <v/>
      </c>
      <c r="DJ24" s="230" t="str">
        <f t="shared" si="85"/>
        <v/>
      </c>
      <c r="DK24" s="230" t="str">
        <f t="shared" si="86"/>
        <v/>
      </c>
    </row>
    <row r="25" spans="1:115">
      <c r="A25" s="37">
        <v>1066026</v>
      </c>
      <c r="B25" s="1">
        <v>95</v>
      </c>
      <c r="C25" s="27" t="str">
        <f t="shared" si="88"/>
        <v>1066026-95</v>
      </c>
      <c r="D25" s="25" t="s">
        <v>56</v>
      </c>
      <c r="E25" s="34" t="s">
        <v>65</v>
      </c>
      <c r="F25" s="29">
        <v>42850</v>
      </c>
      <c r="G25" s="210" t="s">
        <v>68</v>
      </c>
      <c r="H25" s="83">
        <v>26.9</v>
      </c>
      <c r="I25" s="29">
        <v>42861</v>
      </c>
      <c r="J25" s="35">
        <v>26.8</v>
      </c>
      <c r="K25" s="35">
        <v>7</v>
      </c>
      <c r="L25" s="35">
        <v>5.5</v>
      </c>
      <c r="M25" s="35">
        <f t="shared" si="89"/>
        <v>110.11</v>
      </c>
      <c r="N25" s="30">
        <f t="shared" si="37"/>
        <v>1101.0999999999999</v>
      </c>
      <c r="O25" s="30">
        <f t="shared" si="38"/>
        <v>36.703333333333333</v>
      </c>
      <c r="P25" s="35">
        <v>1709</v>
      </c>
      <c r="Q25" s="140">
        <f t="shared" si="87"/>
        <v>15.520842793570067</v>
      </c>
      <c r="R25" s="142">
        <f t="shared" si="90"/>
        <v>1.5520842793570067</v>
      </c>
      <c r="S25" s="238">
        <v>100</v>
      </c>
      <c r="T25" s="239"/>
      <c r="U25" s="31"/>
      <c r="V25" s="121"/>
      <c r="W25" s="78">
        <f>6*4.6*4.6*0.52</f>
        <v>66.019199999999998</v>
      </c>
      <c r="X25" s="83">
        <v>80.599999999999994</v>
      </c>
      <c r="Y25" s="83">
        <v>110.11</v>
      </c>
      <c r="Z25" s="83">
        <f>8.3*7.3*7.3*0.52</f>
        <v>229.99964000000003</v>
      </c>
      <c r="AA25" s="83">
        <f>8*6.9*6.9*0.52</f>
        <v>198.05760000000004</v>
      </c>
      <c r="AB25" s="83">
        <f>8.1*6*6*0.52</f>
        <v>151.63199999999998</v>
      </c>
      <c r="AC25" s="83">
        <f>6.2*5.7*5.7*0.52</f>
        <v>104.74776000000001</v>
      </c>
      <c r="AD25" s="83">
        <f>6.9*5*5*0.52</f>
        <v>89.7</v>
      </c>
      <c r="AE25" s="83">
        <f>4.6*4.5*4.5*0.52</f>
        <v>48.437999999999995</v>
      </c>
      <c r="AF25" s="83">
        <f>2.7*2.2*2.2*0.52</f>
        <v>6.7953600000000023</v>
      </c>
      <c r="AG25" s="83">
        <f>2.4*2.3*2.3*0.52</f>
        <v>6.6019199999999989</v>
      </c>
      <c r="AH25" s="83">
        <f>0</f>
        <v>0</v>
      </c>
      <c r="AI25" s="83">
        <f>0</f>
        <v>0</v>
      </c>
      <c r="AJ25" s="83">
        <f>0</f>
        <v>0</v>
      </c>
      <c r="AK25" s="83">
        <v>0</v>
      </c>
      <c r="AL25" s="83">
        <f>2.2*1.4*1.4*0.52</f>
        <v>2.2422399999999998</v>
      </c>
      <c r="AM25" s="83">
        <f>0</f>
        <v>0</v>
      </c>
      <c r="AN25" s="83">
        <v>0</v>
      </c>
      <c r="AO25" s="83">
        <v>0</v>
      </c>
      <c r="AP25" s="83">
        <f>0</f>
        <v>0</v>
      </c>
      <c r="AQ25" s="83">
        <v>0</v>
      </c>
      <c r="AR25" s="83">
        <f>0</f>
        <v>0</v>
      </c>
      <c r="AS25" s="83">
        <v>0</v>
      </c>
      <c r="AT25" s="83">
        <v>0</v>
      </c>
      <c r="AU25" s="83">
        <f>3.1*2.5*2.5*0.52</f>
        <v>10.075000000000001</v>
      </c>
      <c r="AV25" s="83">
        <f>3.2*2.7*2.7*0.52</f>
        <v>12.130560000000003</v>
      </c>
      <c r="AW25" s="83">
        <f>3.9*2.8*2.8*0.52</f>
        <v>15.899519999999999</v>
      </c>
      <c r="AX25" s="83">
        <f>5.1*4.7*4.7*0.52</f>
        <v>58.582679999999996</v>
      </c>
      <c r="AY25" s="83">
        <f>4*2.8*2.8*0.52</f>
        <v>16.307199999999998</v>
      </c>
      <c r="AZ25" s="83">
        <f>3.9*3.7*3.7*0.52</f>
        <v>27.76332</v>
      </c>
      <c r="BA25" s="83">
        <f>4.5*4.2*4.2*0.52</f>
        <v>41.277600000000007</v>
      </c>
      <c r="BB25" s="83">
        <f>5*4.4*4.4*0.52</f>
        <v>50.336000000000006</v>
      </c>
      <c r="BC25" s="83">
        <f>4*3.9*3.9*0.52</f>
        <v>31.636800000000001</v>
      </c>
      <c r="BD25" s="83">
        <f>5.3*4.8*4.8*0.52</f>
        <v>63.498239999999996</v>
      </c>
      <c r="BE25" s="83">
        <f>4.5*4.4*4.4*0.52</f>
        <v>45.302400000000006</v>
      </c>
      <c r="BF25" s="83">
        <f>0</f>
        <v>0</v>
      </c>
      <c r="BG25" s="83">
        <v>0</v>
      </c>
      <c r="BH25" s="83">
        <v>0</v>
      </c>
      <c r="BI25" s="83">
        <v>0</v>
      </c>
      <c r="BJ25" s="83">
        <v>0</v>
      </c>
      <c r="BK25" s="83">
        <v>0</v>
      </c>
      <c r="BL25" s="83">
        <v>0</v>
      </c>
      <c r="BM25" s="83">
        <v>0</v>
      </c>
      <c r="BN25" s="83">
        <f>0</f>
        <v>0</v>
      </c>
      <c r="BO25" s="83"/>
      <c r="BP25" s="83"/>
      <c r="BQ25" s="36"/>
      <c r="BR25" s="230">
        <f t="shared" si="41"/>
        <v>0.59957497048406139</v>
      </c>
      <c r="BS25" s="230">
        <f t="shared" si="42"/>
        <v>0.73199527744982285</v>
      </c>
      <c r="BT25" s="230">
        <f t="shared" si="43"/>
        <v>1</v>
      </c>
      <c r="BU25" s="230">
        <f t="shared" si="44"/>
        <v>2.088817001180638</v>
      </c>
      <c r="BV25" s="230">
        <f t="shared" si="45"/>
        <v>1.7987249114521846</v>
      </c>
      <c r="BW25" s="230">
        <f t="shared" si="46"/>
        <v>1.3770956316410861</v>
      </c>
      <c r="BX25" s="230">
        <f t="shared" si="47"/>
        <v>0.95130106257378999</v>
      </c>
      <c r="BY25" s="230">
        <f t="shared" si="48"/>
        <v>0.81463990554899646</v>
      </c>
      <c r="BZ25" s="230">
        <f t="shared" si="49"/>
        <v>0.43990554899645806</v>
      </c>
      <c r="CA25" s="230">
        <f t="shared" si="50"/>
        <v>6.1714285714285735E-2</v>
      </c>
      <c r="CB25" s="230">
        <f t="shared" si="51"/>
        <v>5.9957497048406132E-2</v>
      </c>
      <c r="CC25" s="230">
        <f t="shared" si="52"/>
        <v>0</v>
      </c>
      <c r="CD25" s="230">
        <f t="shared" si="53"/>
        <v>0</v>
      </c>
      <c r="CE25" s="230">
        <f t="shared" si="54"/>
        <v>0</v>
      </c>
      <c r="CF25" s="230">
        <f t="shared" si="55"/>
        <v>0</v>
      </c>
      <c r="CG25" s="230">
        <f t="shared" si="56"/>
        <v>2.0363636363636362E-2</v>
      </c>
      <c r="CH25" s="230">
        <f t="shared" si="57"/>
        <v>0</v>
      </c>
      <c r="CI25" s="230">
        <f t="shared" si="58"/>
        <v>0</v>
      </c>
      <c r="CJ25" s="230">
        <f t="shared" si="59"/>
        <v>0</v>
      </c>
      <c r="CK25" s="230">
        <f t="shared" si="60"/>
        <v>0</v>
      </c>
      <c r="CL25" s="230">
        <f t="shared" si="61"/>
        <v>0</v>
      </c>
      <c r="CM25" s="230">
        <f t="shared" si="62"/>
        <v>0</v>
      </c>
      <c r="CN25" s="230">
        <f t="shared" si="63"/>
        <v>0</v>
      </c>
      <c r="CO25" s="230">
        <f t="shared" si="64"/>
        <v>0</v>
      </c>
      <c r="CP25" s="230">
        <f t="shared" si="65"/>
        <v>9.149940968122787E-2</v>
      </c>
      <c r="CQ25" s="230">
        <f t="shared" si="66"/>
        <v>0.11016765053128692</v>
      </c>
      <c r="CR25" s="230">
        <f t="shared" si="67"/>
        <v>0.14439669421487603</v>
      </c>
      <c r="CS25" s="230">
        <f t="shared" si="68"/>
        <v>0.53203778040141669</v>
      </c>
      <c r="CT25" s="230">
        <f t="shared" si="69"/>
        <v>0.14809917355371899</v>
      </c>
      <c r="CU25" s="230">
        <f t="shared" si="70"/>
        <v>0.25214167650531288</v>
      </c>
      <c r="CV25" s="230">
        <f t="shared" si="71"/>
        <v>0.37487603305785128</v>
      </c>
      <c r="CW25" s="230">
        <f t="shared" si="72"/>
        <v>0.45714285714285718</v>
      </c>
      <c r="CX25" s="230">
        <f t="shared" si="73"/>
        <v>0.28731995277449823</v>
      </c>
      <c r="CY25" s="230">
        <f t="shared" si="74"/>
        <v>0.5766800472255017</v>
      </c>
      <c r="CZ25" s="230">
        <f t="shared" si="75"/>
        <v>0.41142857142857148</v>
      </c>
      <c r="DA25" s="230">
        <f t="shared" si="76"/>
        <v>0</v>
      </c>
      <c r="DB25" s="230">
        <f t="shared" si="77"/>
        <v>0</v>
      </c>
      <c r="DC25" s="230">
        <f t="shared" si="78"/>
        <v>0</v>
      </c>
      <c r="DD25" s="230">
        <f t="shared" si="79"/>
        <v>0</v>
      </c>
      <c r="DE25" s="230">
        <f t="shared" si="80"/>
        <v>0</v>
      </c>
      <c r="DF25" s="230">
        <f t="shared" si="81"/>
        <v>0</v>
      </c>
      <c r="DG25" s="230">
        <f t="shared" si="82"/>
        <v>0</v>
      </c>
      <c r="DH25" s="230">
        <f t="shared" si="83"/>
        <v>0</v>
      </c>
      <c r="DI25" s="230">
        <f t="shared" si="84"/>
        <v>0</v>
      </c>
      <c r="DJ25" s="230" t="str">
        <f t="shared" si="85"/>
        <v/>
      </c>
      <c r="DK25" s="230" t="str">
        <f t="shared" si="86"/>
        <v/>
      </c>
    </row>
    <row r="26" spans="1:115">
      <c r="A26" s="37">
        <v>1066027</v>
      </c>
      <c r="B26" s="1">
        <v>101</v>
      </c>
      <c r="C26" s="27" t="str">
        <f t="shared" si="88"/>
        <v>1066027-101</v>
      </c>
      <c r="D26" s="25" t="s">
        <v>56</v>
      </c>
      <c r="E26" s="34" t="s">
        <v>73</v>
      </c>
      <c r="F26" s="29">
        <v>42850</v>
      </c>
      <c r="G26" s="210" t="s">
        <v>68</v>
      </c>
      <c r="H26" s="83">
        <v>27.2</v>
      </c>
      <c r="I26" s="29">
        <v>42861</v>
      </c>
      <c r="J26" s="35">
        <v>27.8</v>
      </c>
      <c r="K26" s="35">
        <v>7.7</v>
      </c>
      <c r="L26" s="35">
        <v>5.3</v>
      </c>
      <c r="M26" s="35">
        <f t="shared" si="89"/>
        <v>112.47236000000001</v>
      </c>
      <c r="N26" s="30">
        <f t="shared" si="37"/>
        <v>1124.7236</v>
      </c>
      <c r="O26" s="30">
        <f t="shared" si="38"/>
        <v>37.490786666666672</v>
      </c>
      <c r="P26" s="35">
        <v>188</v>
      </c>
      <c r="Q26" s="140">
        <f t="shared" si="87"/>
        <v>1.6715217854413296</v>
      </c>
      <c r="R26" s="142">
        <f t="shared" si="90"/>
        <v>0.16715217854413297</v>
      </c>
      <c r="S26" s="238">
        <v>100</v>
      </c>
      <c r="T26" s="239"/>
      <c r="U26" s="31"/>
      <c r="V26" s="121"/>
      <c r="W26" s="78">
        <f>6.3*4.8*4.8*0.52</f>
        <v>75.479039999999998</v>
      </c>
      <c r="X26" s="83">
        <v>54.1</v>
      </c>
      <c r="Y26" s="83">
        <v>112.47236000000001</v>
      </c>
      <c r="Z26" s="83">
        <f>8*6.8*6.8*0.52</f>
        <v>192.35839999999999</v>
      </c>
      <c r="AA26" s="83">
        <f>8.8*7.1*7.1*0.52</f>
        <v>230.67616000000001</v>
      </c>
      <c r="AB26" s="83">
        <f>7.8*6.6*6.6*0.52</f>
        <v>176.67936</v>
      </c>
      <c r="AC26" s="83">
        <f>6.7*5.6*5.6*0.52</f>
        <v>109.25823999999999</v>
      </c>
      <c r="AD26" s="83">
        <f>7.8*6.4*6.4*0.52</f>
        <v>166.13376000000002</v>
      </c>
      <c r="AE26" s="83">
        <f>7.9*6.9*6.9*0.52</f>
        <v>195.58188000000001</v>
      </c>
      <c r="AF26" s="83">
        <f>7.5*6.8*6.8*0.52</f>
        <v>180.33600000000001</v>
      </c>
      <c r="AG26" s="83">
        <f>9.8*7.1*7.1*0.52</f>
        <v>256.88936000000001</v>
      </c>
      <c r="AH26" s="83">
        <f>12.6*9.2*9.2*0.52</f>
        <v>554.5612799999999</v>
      </c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36"/>
      <c r="BR26" s="230">
        <f t="shared" si="41"/>
        <v>0.6710896792776464</v>
      </c>
      <c r="BS26" s="230">
        <f t="shared" si="42"/>
        <v>0.48100706698072304</v>
      </c>
      <c r="BT26" s="230">
        <f t="shared" si="43"/>
        <v>1</v>
      </c>
      <c r="BU26" s="230">
        <f t="shared" si="44"/>
        <v>1.7102726394289225</v>
      </c>
      <c r="BV26" s="230">
        <f t="shared" si="45"/>
        <v>2.050958653308244</v>
      </c>
      <c r="BW26" s="230">
        <f t="shared" si="46"/>
        <v>1.570869145094848</v>
      </c>
      <c r="BX26" s="230">
        <f t="shared" si="47"/>
        <v>0.97142302339881526</v>
      </c>
      <c r="BY26" s="230">
        <f t="shared" si="48"/>
        <v>1.4771074422195818</v>
      </c>
      <c r="BZ26" s="230">
        <f t="shared" si="49"/>
        <v>1.7389328364764463</v>
      </c>
      <c r="CA26" s="230">
        <f t="shared" si="50"/>
        <v>1.6033805994646151</v>
      </c>
      <c r="CB26" s="230">
        <f t="shared" si="51"/>
        <v>2.2840221366387259</v>
      </c>
      <c r="CC26" s="230">
        <f t="shared" si="52"/>
        <v>4.9306450046927068</v>
      </c>
      <c r="CD26" s="230" t="str">
        <f t="shared" si="53"/>
        <v/>
      </c>
      <c r="CE26" s="230" t="str">
        <f t="shared" si="54"/>
        <v/>
      </c>
      <c r="CF26" s="230" t="str">
        <f t="shared" si="55"/>
        <v/>
      </c>
      <c r="CG26" s="230" t="str">
        <f t="shared" si="56"/>
        <v/>
      </c>
      <c r="CH26" s="230" t="str">
        <f t="shared" si="57"/>
        <v/>
      </c>
      <c r="CI26" s="230" t="str">
        <f t="shared" si="58"/>
        <v/>
      </c>
      <c r="CJ26" s="230" t="str">
        <f t="shared" si="59"/>
        <v/>
      </c>
      <c r="CK26" s="230" t="str">
        <f t="shared" si="60"/>
        <v/>
      </c>
      <c r="CL26" s="230" t="str">
        <f t="shared" si="61"/>
        <v/>
      </c>
      <c r="CM26" s="230" t="str">
        <f t="shared" si="62"/>
        <v/>
      </c>
      <c r="CN26" s="230" t="str">
        <f t="shared" si="63"/>
        <v/>
      </c>
      <c r="CO26" s="230" t="str">
        <f t="shared" si="64"/>
        <v/>
      </c>
      <c r="CP26" s="230" t="str">
        <f t="shared" si="65"/>
        <v/>
      </c>
      <c r="CQ26" s="230" t="str">
        <f t="shared" si="66"/>
        <v/>
      </c>
      <c r="CR26" s="230" t="str">
        <f t="shared" si="67"/>
        <v/>
      </c>
      <c r="CS26" s="230" t="str">
        <f t="shared" si="68"/>
        <v/>
      </c>
      <c r="CT26" s="230" t="str">
        <f t="shared" si="69"/>
        <v/>
      </c>
      <c r="CU26" s="230" t="str">
        <f t="shared" si="70"/>
        <v/>
      </c>
      <c r="CV26" s="230" t="str">
        <f t="shared" si="71"/>
        <v/>
      </c>
      <c r="CW26" s="230" t="str">
        <f t="shared" si="72"/>
        <v/>
      </c>
      <c r="CX26" s="230" t="str">
        <f t="shared" si="73"/>
        <v/>
      </c>
      <c r="CY26" s="230" t="str">
        <f t="shared" si="74"/>
        <v/>
      </c>
      <c r="CZ26" s="230" t="str">
        <f t="shared" si="75"/>
        <v/>
      </c>
      <c r="DA26" s="230" t="str">
        <f t="shared" si="76"/>
        <v/>
      </c>
      <c r="DB26" s="230" t="str">
        <f t="shared" si="77"/>
        <v/>
      </c>
      <c r="DC26" s="230" t="str">
        <f t="shared" si="78"/>
        <v/>
      </c>
      <c r="DD26" s="230" t="str">
        <f t="shared" si="79"/>
        <v/>
      </c>
      <c r="DE26" s="230" t="str">
        <f t="shared" si="80"/>
        <v/>
      </c>
      <c r="DF26" s="230" t="str">
        <f t="shared" si="81"/>
        <v/>
      </c>
      <c r="DG26" s="230" t="str">
        <f t="shared" si="82"/>
        <v/>
      </c>
      <c r="DH26" s="230" t="str">
        <f t="shared" si="83"/>
        <v/>
      </c>
      <c r="DI26" s="230" t="str">
        <f t="shared" si="84"/>
        <v/>
      </c>
      <c r="DJ26" s="230" t="str">
        <f t="shared" si="85"/>
        <v/>
      </c>
      <c r="DK26" s="230" t="str">
        <f t="shared" si="86"/>
        <v/>
      </c>
    </row>
    <row r="27" spans="1:115">
      <c r="A27" s="37">
        <v>1066027</v>
      </c>
      <c r="B27" s="1">
        <v>102</v>
      </c>
      <c r="C27" s="27" t="str">
        <f t="shared" si="88"/>
        <v>1066027-102</v>
      </c>
      <c r="D27" s="25" t="s">
        <v>56</v>
      </c>
      <c r="E27" s="34" t="s">
        <v>65</v>
      </c>
      <c r="F27" s="29">
        <v>42850</v>
      </c>
      <c r="G27" s="210" t="s">
        <v>68</v>
      </c>
      <c r="H27" s="83">
        <v>26</v>
      </c>
      <c r="I27" s="29">
        <v>42861</v>
      </c>
      <c r="J27" s="35">
        <v>25.3</v>
      </c>
      <c r="K27" s="35">
        <v>6.8</v>
      </c>
      <c r="L27" s="35">
        <v>5.4</v>
      </c>
      <c r="M27" s="35">
        <f t="shared" si="89"/>
        <v>103.10976000000001</v>
      </c>
      <c r="N27" s="30">
        <f t="shared" si="37"/>
        <v>1031.0976000000001</v>
      </c>
      <c r="O27" s="30">
        <f t="shared" si="38"/>
        <v>34.36992</v>
      </c>
      <c r="P27" s="35">
        <v>778</v>
      </c>
      <c r="Q27" s="140">
        <f t="shared" si="87"/>
        <v>7.5453574908912593</v>
      </c>
      <c r="R27" s="142">
        <f t="shared" si="90"/>
        <v>0.75453574908912591</v>
      </c>
      <c r="S27" s="238">
        <v>100</v>
      </c>
      <c r="T27" s="239"/>
      <c r="U27" s="31"/>
      <c r="V27" s="121"/>
      <c r="W27" s="78">
        <f>6.1*4.9*4.9*0.52</f>
        <v>76.159720000000007</v>
      </c>
      <c r="X27" s="83">
        <v>65.400000000000006</v>
      </c>
      <c r="Y27" s="83">
        <v>103.10976000000001</v>
      </c>
      <c r="Z27" s="83">
        <f>7.9*5.9*5.9*0.52</f>
        <v>142.99948000000003</v>
      </c>
      <c r="AA27" s="83">
        <f>6.9*6.2*6.2*0.52</f>
        <v>137.92272</v>
      </c>
      <c r="AB27" s="83">
        <f>6.5*6*6*0.52</f>
        <v>121.68</v>
      </c>
      <c r="AC27" s="83">
        <f>6.6*5.9*5.9*0.52</f>
        <v>119.46792000000001</v>
      </c>
      <c r="AD27" s="83">
        <f>6*5.7*5.7*0.52</f>
        <v>101.36880000000002</v>
      </c>
      <c r="AE27" s="83">
        <f>3.1*2.4*2.4*0.52</f>
        <v>9.2851199999999992</v>
      </c>
      <c r="AF27" s="83">
        <f>0</f>
        <v>0</v>
      </c>
      <c r="AG27" s="83">
        <f>0</f>
        <v>0</v>
      </c>
      <c r="AH27" s="83">
        <f>0</f>
        <v>0</v>
      </c>
      <c r="AI27" s="83">
        <f>0</f>
        <v>0</v>
      </c>
      <c r="AJ27" s="83">
        <f>0</f>
        <v>0</v>
      </c>
      <c r="AK27" s="83">
        <v>0</v>
      </c>
      <c r="AL27" s="83">
        <f>0</f>
        <v>0</v>
      </c>
      <c r="AM27" s="83">
        <f>0</f>
        <v>0</v>
      </c>
      <c r="AN27" s="83">
        <v>0</v>
      </c>
      <c r="AO27" s="83">
        <v>0</v>
      </c>
      <c r="AP27" s="83">
        <v>0</v>
      </c>
      <c r="AQ27" s="83">
        <v>0</v>
      </c>
      <c r="AR27" s="83">
        <f>0</f>
        <v>0</v>
      </c>
      <c r="AS27" s="83">
        <v>0</v>
      </c>
      <c r="AT27" s="83">
        <f>5*4*4*0.52</f>
        <v>41.6</v>
      </c>
      <c r="AU27" s="83">
        <f>3.5*3.4*3.4*0.52</f>
        <v>21.039200000000001</v>
      </c>
      <c r="AV27" s="83">
        <f>5.6*5*5*0.52</f>
        <v>72.8</v>
      </c>
      <c r="AW27" s="83">
        <f>5.1*4.8*4.8*0.52</f>
        <v>61.102079999999987</v>
      </c>
      <c r="AX27" s="83">
        <f>4.3*3.5*3.5*0.52</f>
        <v>27.390999999999998</v>
      </c>
      <c r="AY27" s="83">
        <f>4.2*3.1*3.1*0.52</f>
        <v>20.988240000000001</v>
      </c>
      <c r="AZ27" s="83">
        <f>4.5*3.8*3.8*0.52</f>
        <v>33.789599999999993</v>
      </c>
      <c r="BA27" s="83">
        <f>3.2*3.1*3.1*0.52</f>
        <v>15.991040000000003</v>
      </c>
      <c r="BB27" s="83">
        <f>4.8*4*4*0.52</f>
        <v>39.936</v>
      </c>
      <c r="BC27" s="83">
        <f>6.3*4.4*4.4*0.52</f>
        <v>63.42336000000001</v>
      </c>
      <c r="BD27" s="83">
        <f>4.7*4.4*4.4*0.52</f>
        <v>47.315840000000009</v>
      </c>
      <c r="BE27" s="83">
        <f>4.3*4*4*0.52</f>
        <v>35.775999999999996</v>
      </c>
      <c r="BF27" s="83">
        <f>3.6*3*3*0.52</f>
        <v>16.848000000000003</v>
      </c>
      <c r="BG27" s="83">
        <v>0</v>
      </c>
      <c r="BH27" s="83">
        <v>0</v>
      </c>
      <c r="BI27" s="83">
        <v>0</v>
      </c>
      <c r="BJ27" s="83">
        <v>0</v>
      </c>
      <c r="BK27" s="83">
        <v>0</v>
      </c>
      <c r="BL27" s="83">
        <v>0</v>
      </c>
      <c r="BM27" s="83">
        <v>0</v>
      </c>
      <c r="BN27" s="83">
        <v>0</v>
      </c>
      <c r="BO27" s="83"/>
      <c r="BP27" s="83"/>
      <c r="BQ27" s="36"/>
      <c r="BR27" s="230">
        <f t="shared" si="41"/>
        <v>0.73862765270717345</v>
      </c>
      <c r="BS27" s="230">
        <f t="shared" si="42"/>
        <v>0.63427555257620616</v>
      </c>
      <c r="BT27" s="230">
        <f t="shared" si="43"/>
        <v>1</v>
      </c>
      <c r="BU27" s="230">
        <f t="shared" si="44"/>
        <v>1.3868665779068832</v>
      </c>
      <c r="BV27" s="230">
        <f t="shared" si="45"/>
        <v>1.3376301137739044</v>
      </c>
      <c r="BW27" s="230">
        <f t="shared" si="46"/>
        <v>1.1801016702977487</v>
      </c>
      <c r="BX27" s="230">
        <f t="shared" si="47"/>
        <v>1.1586480271120794</v>
      </c>
      <c r="BY27" s="230">
        <f t="shared" si="48"/>
        <v>0.98311546840958619</v>
      </c>
      <c r="BZ27" s="230">
        <f t="shared" si="49"/>
        <v>9.0050835148874353E-2</v>
      </c>
      <c r="CA27" s="230">
        <f t="shared" si="50"/>
        <v>0</v>
      </c>
      <c r="CB27" s="230">
        <f t="shared" si="51"/>
        <v>0</v>
      </c>
      <c r="CC27" s="230">
        <f t="shared" si="52"/>
        <v>0</v>
      </c>
      <c r="CD27" s="230">
        <f t="shared" si="53"/>
        <v>0</v>
      </c>
      <c r="CE27" s="230">
        <f t="shared" si="54"/>
        <v>0</v>
      </c>
      <c r="CF27" s="230">
        <f t="shared" si="55"/>
        <v>0</v>
      </c>
      <c r="CG27" s="230">
        <f t="shared" si="56"/>
        <v>0</v>
      </c>
      <c r="CH27" s="230">
        <f t="shared" si="57"/>
        <v>0</v>
      </c>
      <c r="CI27" s="230">
        <f t="shared" si="58"/>
        <v>0</v>
      </c>
      <c r="CJ27" s="230">
        <f t="shared" si="59"/>
        <v>0</v>
      </c>
      <c r="CK27" s="230">
        <f t="shared" si="60"/>
        <v>0</v>
      </c>
      <c r="CL27" s="230">
        <f t="shared" si="61"/>
        <v>0</v>
      </c>
      <c r="CM27" s="230">
        <f t="shared" si="62"/>
        <v>0</v>
      </c>
      <c r="CN27" s="230">
        <f t="shared" si="63"/>
        <v>0</v>
      </c>
      <c r="CO27" s="230">
        <f t="shared" si="64"/>
        <v>0.40345356249495679</v>
      </c>
      <c r="CP27" s="230">
        <f t="shared" si="65"/>
        <v>0.20404663923182442</v>
      </c>
      <c r="CQ27" s="230">
        <f t="shared" si="66"/>
        <v>0.7060437343661744</v>
      </c>
      <c r="CR27" s="230">
        <f t="shared" si="67"/>
        <v>0.59259259259259245</v>
      </c>
      <c r="CS27" s="230">
        <f t="shared" si="68"/>
        <v>0.26564895505527308</v>
      </c>
      <c r="CT27" s="230">
        <f t="shared" si="69"/>
        <v>0.20355240861776808</v>
      </c>
      <c r="CU27" s="230">
        <f t="shared" si="70"/>
        <v>0.32770515613652856</v>
      </c>
      <c r="CV27" s="230">
        <f t="shared" si="71"/>
        <v>0.15508754942306144</v>
      </c>
      <c r="CW27" s="230">
        <f t="shared" si="72"/>
        <v>0.38731541999515851</v>
      </c>
      <c r="CX27" s="230">
        <f t="shared" si="73"/>
        <v>0.61510530137981123</v>
      </c>
      <c r="CY27" s="230">
        <f t="shared" si="74"/>
        <v>0.45888808198176395</v>
      </c>
      <c r="CZ27" s="230">
        <f t="shared" si="75"/>
        <v>0.3469700637456628</v>
      </c>
      <c r="DA27" s="230">
        <f t="shared" si="76"/>
        <v>0.16339869281045752</v>
      </c>
      <c r="DB27" s="230">
        <f t="shared" si="77"/>
        <v>0</v>
      </c>
      <c r="DC27" s="230">
        <f t="shared" si="78"/>
        <v>0</v>
      </c>
      <c r="DD27" s="230">
        <f t="shared" si="79"/>
        <v>0</v>
      </c>
      <c r="DE27" s="230">
        <f t="shared" si="80"/>
        <v>0</v>
      </c>
      <c r="DF27" s="230">
        <f t="shared" si="81"/>
        <v>0</v>
      </c>
      <c r="DG27" s="230">
        <f t="shared" si="82"/>
        <v>0</v>
      </c>
      <c r="DH27" s="230">
        <f t="shared" si="83"/>
        <v>0</v>
      </c>
      <c r="DI27" s="230">
        <f t="shared" si="84"/>
        <v>0</v>
      </c>
      <c r="DJ27" s="230" t="str">
        <f t="shared" si="85"/>
        <v/>
      </c>
      <c r="DK27" s="230" t="str">
        <f t="shared" si="86"/>
        <v/>
      </c>
    </row>
    <row r="28" spans="1:115">
      <c r="A28" s="37">
        <v>1066027</v>
      </c>
      <c r="B28" s="1">
        <v>103</v>
      </c>
      <c r="C28" s="27" t="str">
        <f t="shared" si="88"/>
        <v>1066027-103</v>
      </c>
      <c r="D28" s="25" t="s">
        <v>56</v>
      </c>
      <c r="E28" s="34" t="s">
        <v>73</v>
      </c>
      <c r="F28" s="29">
        <v>42850</v>
      </c>
      <c r="G28" s="210" t="s">
        <v>68</v>
      </c>
      <c r="H28" s="83">
        <v>28.4</v>
      </c>
      <c r="I28" s="29">
        <v>42861</v>
      </c>
      <c r="J28" s="35">
        <v>27.8</v>
      </c>
      <c r="K28" s="35">
        <v>7.8</v>
      </c>
      <c r="L28" s="35">
        <v>5.0999999999999996</v>
      </c>
      <c r="M28" s="35">
        <f t="shared" si="89"/>
        <v>105.49656</v>
      </c>
      <c r="N28" s="30">
        <f t="shared" si="37"/>
        <v>1054.9656</v>
      </c>
      <c r="O28" s="30">
        <f t="shared" si="38"/>
        <v>35.165520000000001</v>
      </c>
      <c r="P28" s="35">
        <v>119</v>
      </c>
      <c r="Q28" s="140">
        <f t="shared" si="87"/>
        <v>1.1279988655554267</v>
      </c>
      <c r="R28" s="142">
        <f t="shared" si="90"/>
        <v>0.11279988655554267</v>
      </c>
      <c r="S28" s="238">
        <v>100</v>
      </c>
      <c r="T28" s="239"/>
      <c r="U28" s="31"/>
      <c r="V28" s="121"/>
      <c r="W28" s="78">
        <f>6.3*5.2*5.2*0.52</f>
        <v>88.583040000000011</v>
      </c>
      <c r="X28" s="83">
        <v>79.900000000000006</v>
      </c>
      <c r="Y28" s="83">
        <v>105.49656</v>
      </c>
      <c r="Z28" s="83">
        <f>7.2*6.1*6.1*0.52</f>
        <v>139.31423999999998</v>
      </c>
      <c r="AA28" s="83">
        <f>7.6*6.6*6.6*0.52</f>
        <v>172.14912000000001</v>
      </c>
      <c r="AB28" s="83">
        <f>7.2*6.9*6.9*0.52</f>
        <v>178.25184000000004</v>
      </c>
      <c r="AC28" s="83">
        <f>7.1*5.9*5.9*0.52</f>
        <v>128.51852000000002</v>
      </c>
      <c r="AD28" s="83">
        <f>8.2*5.8*5.8*0.52</f>
        <v>143.44095999999999</v>
      </c>
      <c r="AE28" s="83">
        <f>8.7*6.6*6.6*0.52</f>
        <v>197.06543999999997</v>
      </c>
      <c r="AF28" s="83">
        <f>9.7*6.5*6.5*0.52</f>
        <v>213.10900000000001</v>
      </c>
      <c r="AG28" s="83">
        <f>10.1*6.5*6.5*0.52</f>
        <v>221.89699999999999</v>
      </c>
      <c r="AH28" s="83">
        <f>12.2*7.9*7.9*0.52</f>
        <v>395.92904000000004</v>
      </c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36"/>
      <c r="BR28" s="230">
        <f t="shared" si="41"/>
        <v>0.8396770472895041</v>
      </c>
      <c r="BS28" s="230">
        <f t="shared" si="42"/>
        <v>0.75737066687292931</v>
      </c>
      <c r="BT28" s="230">
        <f t="shared" si="43"/>
        <v>1</v>
      </c>
      <c r="BU28" s="230">
        <f t="shared" si="44"/>
        <v>1.3205571821488775</v>
      </c>
      <c r="BV28" s="230">
        <f t="shared" si="45"/>
        <v>1.6317984207257565</v>
      </c>
      <c r="BW28" s="230">
        <f t="shared" si="46"/>
        <v>1.6896459941442645</v>
      </c>
      <c r="BX28" s="230">
        <f t="shared" si="47"/>
        <v>1.2182247459064071</v>
      </c>
      <c r="BY28" s="230">
        <f t="shared" si="48"/>
        <v>1.359674287009927</v>
      </c>
      <c r="BZ28" s="230">
        <f t="shared" si="49"/>
        <v>1.8679797710939576</v>
      </c>
      <c r="CA28" s="230">
        <f t="shared" si="50"/>
        <v>2.0200563885684995</v>
      </c>
      <c r="CB28" s="230">
        <f t="shared" si="51"/>
        <v>2.1033576829424581</v>
      </c>
      <c r="CC28" s="230">
        <f t="shared" si="52"/>
        <v>3.7530042685752032</v>
      </c>
      <c r="CD28" s="230" t="str">
        <f t="shared" si="53"/>
        <v/>
      </c>
      <c r="CE28" s="230" t="str">
        <f t="shared" si="54"/>
        <v/>
      </c>
      <c r="CF28" s="230" t="str">
        <f t="shared" si="55"/>
        <v/>
      </c>
      <c r="CG28" s="230" t="str">
        <f t="shared" si="56"/>
        <v/>
      </c>
      <c r="CH28" s="230" t="str">
        <f t="shared" si="57"/>
        <v/>
      </c>
      <c r="CI28" s="230" t="str">
        <f t="shared" si="58"/>
        <v/>
      </c>
      <c r="CJ28" s="230" t="str">
        <f t="shared" si="59"/>
        <v/>
      </c>
      <c r="CK28" s="230" t="str">
        <f t="shared" si="60"/>
        <v/>
      </c>
      <c r="CL28" s="230" t="str">
        <f t="shared" si="61"/>
        <v/>
      </c>
      <c r="CM28" s="230" t="str">
        <f t="shared" si="62"/>
        <v/>
      </c>
      <c r="CN28" s="230" t="str">
        <f t="shared" si="63"/>
        <v/>
      </c>
      <c r="CO28" s="230" t="str">
        <f t="shared" si="64"/>
        <v/>
      </c>
      <c r="CP28" s="230" t="str">
        <f t="shared" si="65"/>
        <v/>
      </c>
      <c r="CQ28" s="230" t="str">
        <f t="shared" si="66"/>
        <v/>
      </c>
      <c r="CR28" s="230" t="str">
        <f t="shared" si="67"/>
        <v/>
      </c>
      <c r="CS28" s="230" t="str">
        <f t="shared" si="68"/>
        <v/>
      </c>
      <c r="CT28" s="230" t="str">
        <f t="shared" si="69"/>
        <v/>
      </c>
      <c r="CU28" s="230" t="str">
        <f t="shared" si="70"/>
        <v/>
      </c>
      <c r="CV28" s="230" t="str">
        <f t="shared" si="71"/>
        <v/>
      </c>
      <c r="CW28" s="230" t="str">
        <f t="shared" si="72"/>
        <v/>
      </c>
      <c r="CX28" s="230" t="str">
        <f t="shared" si="73"/>
        <v/>
      </c>
      <c r="CY28" s="230" t="str">
        <f t="shared" si="74"/>
        <v/>
      </c>
      <c r="CZ28" s="230" t="str">
        <f t="shared" si="75"/>
        <v/>
      </c>
      <c r="DA28" s="230" t="str">
        <f t="shared" si="76"/>
        <v/>
      </c>
      <c r="DB28" s="230" t="str">
        <f t="shared" si="77"/>
        <v/>
      </c>
      <c r="DC28" s="230" t="str">
        <f t="shared" si="78"/>
        <v/>
      </c>
      <c r="DD28" s="230" t="str">
        <f t="shared" si="79"/>
        <v/>
      </c>
      <c r="DE28" s="230" t="str">
        <f t="shared" si="80"/>
        <v/>
      </c>
      <c r="DF28" s="230" t="str">
        <f t="shared" si="81"/>
        <v/>
      </c>
      <c r="DG28" s="230" t="str">
        <f t="shared" si="82"/>
        <v/>
      </c>
      <c r="DH28" s="230" t="str">
        <f t="shared" si="83"/>
        <v/>
      </c>
      <c r="DI28" s="230" t="str">
        <f t="shared" si="84"/>
        <v/>
      </c>
      <c r="DJ28" s="230" t="str">
        <f t="shared" si="85"/>
        <v/>
      </c>
      <c r="DK28" s="230" t="str">
        <f t="shared" si="86"/>
        <v/>
      </c>
    </row>
    <row r="29" spans="1:115">
      <c r="A29" s="37">
        <v>1066027</v>
      </c>
      <c r="B29" s="1">
        <v>104</v>
      </c>
      <c r="C29" s="27" t="str">
        <f t="shared" si="88"/>
        <v>1066027-104</v>
      </c>
      <c r="D29" s="25" t="s">
        <v>56</v>
      </c>
      <c r="E29" s="34" t="s">
        <v>64</v>
      </c>
      <c r="F29" s="29">
        <v>42850</v>
      </c>
      <c r="G29" s="210" t="s">
        <v>68</v>
      </c>
      <c r="H29" s="83">
        <v>26.8</v>
      </c>
      <c r="I29" s="29">
        <v>42861</v>
      </c>
      <c r="J29" s="35">
        <v>29.5</v>
      </c>
      <c r="K29" s="35">
        <v>8.1</v>
      </c>
      <c r="L29" s="35">
        <v>6.7</v>
      </c>
      <c r="M29" s="35">
        <f t="shared" si="89"/>
        <v>189.07668000000001</v>
      </c>
      <c r="N29" s="30">
        <f t="shared" si="37"/>
        <v>1890.7668000000001</v>
      </c>
      <c r="O29" s="30">
        <f t="shared" si="38"/>
        <v>63.025560000000006</v>
      </c>
      <c r="P29" s="35">
        <v>0</v>
      </c>
      <c r="Q29" s="140">
        <f t="shared" si="87"/>
        <v>0</v>
      </c>
      <c r="R29" s="142">
        <f t="shared" si="90"/>
        <v>0</v>
      </c>
      <c r="S29" s="238"/>
      <c r="T29" s="239"/>
      <c r="U29" s="31"/>
      <c r="V29" s="121"/>
      <c r="W29" s="78">
        <f>6.3*5.3*5.3*0.52</f>
        <v>92.022840000000002</v>
      </c>
      <c r="X29" s="83">
        <v>108.6</v>
      </c>
      <c r="Y29" s="83">
        <v>189.07668000000001</v>
      </c>
      <c r="Z29" s="83">
        <f>7.7*6.6*6.6*0.52</f>
        <v>174.41424000000001</v>
      </c>
      <c r="AA29" s="83">
        <f>7*6.7*6.7*0.52</f>
        <v>163.39960000000002</v>
      </c>
      <c r="AB29" s="83">
        <f>8.6*7*7*0.52</f>
        <v>219.12799999999999</v>
      </c>
      <c r="AC29" s="83">
        <f>9.1*7.2*7.2*0.52</f>
        <v>245.30688000000001</v>
      </c>
      <c r="AD29" s="83">
        <f>10.5*8.1*8.1*0.52</f>
        <v>358.23059999999998</v>
      </c>
      <c r="AE29" s="83">
        <f>10.7*8.8*8.8*0.52</f>
        <v>430.87616000000003</v>
      </c>
      <c r="AF29" s="83">
        <f>13.2*9.9*9.9*0.52</f>
        <v>672.7406400000001</v>
      </c>
      <c r="AG29" s="83">
        <f>14.2*11.2*11.2*0.52</f>
        <v>926.2489599999999</v>
      </c>
      <c r="AH29" s="83">
        <f>15.5*12.1*12.1*0.52</f>
        <v>1180.0645999999997</v>
      </c>
      <c r="AI29" s="83">
        <f>16.9*12.9*12.9*0.52</f>
        <v>1462.4110800000001</v>
      </c>
      <c r="AJ29" s="83">
        <f>16.8*13.8*13.8*0.52</f>
        <v>1663.6838400000004</v>
      </c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36"/>
      <c r="BR29" s="230">
        <f t="shared" si="41"/>
        <v>0.4866958738645083</v>
      </c>
      <c r="BS29" s="230">
        <f t="shared" si="42"/>
        <v>0.57437014443029144</v>
      </c>
      <c r="BT29" s="230">
        <f t="shared" si="43"/>
        <v>1</v>
      </c>
      <c r="BU29" s="230">
        <f t="shared" si="44"/>
        <v>0.92245241454419447</v>
      </c>
      <c r="BV29" s="230">
        <f t="shared" si="45"/>
        <v>0.86419753086419759</v>
      </c>
      <c r="BW29" s="230">
        <f t="shared" si="46"/>
        <v>1.1589372100250543</v>
      </c>
      <c r="BX29" s="230">
        <f t="shared" si="47"/>
        <v>1.2973936288705725</v>
      </c>
      <c r="BY29" s="230">
        <f t="shared" si="48"/>
        <v>1.8946313210069057</v>
      </c>
      <c r="BZ29" s="230">
        <f t="shared" si="49"/>
        <v>2.2788434829720936</v>
      </c>
      <c r="CA29" s="230">
        <f t="shared" si="50"/>
        <v>3.5580307418133219</v>
      </c>
      <c r="CB29" s="230">
        <f t="shared" si="51"/>
        <v>4.8988006347477642</v>
      </c>
      <c r="CC29" s="230">
        <f t="shared" si="52"/>
        <v>6.2411958999914727</v>
      </c>
      <c r="CD29" s="230">
        <f t="shared" si="53"/>
        <v>7.7344867701294522</v>
      </c>
      <c r="CE29" s="230">
        <f t="shared" si="54"/>
        <v>8.7989901240068331</v>
      </c>
      <c r="CF29" s="230" t="str">
        <f t="shared" si="55"/>
        <v/>
      </c>
      <c r="CG29" s="230" t="str">
        <f t="shared" si="56"/>
        <v/>
      </c>
      <c r="CH29" s="230" t="str">
        <f t="shared" si="57"/>
        <v/>
      </c>
      <c r="CI29" s="230" t="str">
        <f t="shared" si="58"/>
        <v/>
      </c>
      <c r="CJ29" s="230" t="str">
        <f t="shared" si="59"/>
        <v/>
      </c>
      <c r="CK29" s="230" t="str">
        <f t="shared" si="60"/>
        <v/>
      </c>
      <c r="CL29" s="230" t="str">
        <f t="shared" si="61"/>
        <v/>
      </c>
      <c r="CM29" s="230" t="str">
        <f t="shared" si="62"/>
        <v/>
      </c>
      <c r="CN29" s="230" t="str">
        <f t="shared" si="63"/>
        <v/>
      </c>
      <c r="CO29" s="230" t="str">
        <f t="shared" si="64"/>
        <v/>
      </c>
      <c r="CP29" s="230" t="str">
        <f t="shared" si="65"/>
        <v/>
      </c>
      <c r="CQ29" s="230" t="str">
        <f t="shared" si="66"/>
        <v/>
      </c>
      <c r="CR29" s="230" t="str">
        <f t="shared" si="67"/>
        <v/>
      </c>
      <c r="CS29" s="230" t="str">
        <f t="shared" si="68"/>
        <v/>
      </c>
      <c r="CT29" s="230" t="str">
        <f t="shared" si="69"/>
        <v/>
      </c>
      <c r="CU29" s="230" t="str">
        <f t="shared" si="70"/>
        <v/>
      </c>
      <c r="CV29" s="230" t="str">
        <f t="shared" si="71"/>
        <v/>
      </c>
      <c r="CW29" s="230" t="str">
        <f t="shared" si="72"/>
        <v/>
      </c>
      <c r="CX29" s="230" t="str">
        <f t="shared" si="73"/>
        <v/>
      </c>
      <c r="CY29" s="230" t="str">
        <f t="shared" si="74"/>
        <v/>
      </c>
      <c r="CZ29" s="230" t="str">
        <f t="shared" si="75"/>
        <v/>
      </c>
      <c r="DA29" s="230" t="str">
        <f t="shared" si="76"/>
        <v/>
      </c>
      <c r="DB29" s="230" t="str">
        <f t="shared" si="77"/>
        <v/>
      </c>
      <c r="DC29" s="230" t="str">
        <f t="shared" si="78"/>
        <v/>
      </c>
      <c r="DD29" s="230" t="str">
        <f t="shared" si="79"/>
        <v/>
      </c>
      <c r="DE29" s="230" t="str">
        <f t="shared" si="80"/>
        <v/>
      </c>
      <c r="DF29" s="230" t="str">
        <f t="shared" si="81"/>
        <v/>
      </c>
      <c r="DG29" s="230" t="str">
        <f t="shared" si="82"/>
        <v/>
      </c>
      <c r="DH29" s="230" t="str">
        <f t="shared" si="83"/>
        <v/>
      </c>
      <c r="DI29" s="230" t="str">
        <f t="shared" si="84"/>
        <v/>
      </c>
      <c r="DJ29" s="230" t="str">
        <f t="shared" si="85"/>
        <v/>
      </c>
      <c r="DK29" s="230" t="str">
        <f t="shared" si="86"/>
        <v/>
      </c>
    </row>
    <row r="30" spans="1:115">
      <c r="A30" s="38">
        <v>1066027</v>
      </c>
      <c r="B30" s="4">
        <v>105</v>
      </c>
      <c r="C30" s="89" t="str">
        <f t="shared" si="88"/>
        <v>1066027-105</v>
      </c>
      <c r="D30" s="25" t="s">
        <v>56</v>
      </c>
      <c r="E30" s="34" t="s">
        <v>64</v>
      </c>
      <c r="F30" s="29">
        <v>42850</v>
      </c>
      <c r="G30" s="211" t="s">
        <v>68</v>
      </c>
      <c r="H30" s="84">
        <v>25.7</v>
      </c>
      <c r="I30" s="29">
        <v>42861</v>
      </c>
      <c r="J30" s="40">
        <v>27.2</v>
      </c>
      <c r="K30" s="40">
        <v>7.3</v>
      </c>
      <c r="L30" s="40">
        <v>6.5</v>
      </c>
      <c r="M30" s="35">
        <f t="shared" si="89"/>
        <v>160.381</v>
      </c>
      <c r="N30" s="30">
        <f t="shared" si="37"/>
        <v>1603.81</v>
      </c>
      <c r="O30" s="30">
        <f t="shared" si="38"/>
        <v>53.460333333333331</v>
      </c>
      <c r="P30" s="40">
        <v>0</v>
      </c>
      <c r="Q30" s="141">
        <f t="shared" si="87"/>
        <v>0</v>
      </c>
      <c r="R30" s="143">
        <f t="shared" si="90"/>
        <v>0</v>
      </c>
      <c r="S30" s="240"/>
      <c r="T30" s="239"/>
      <c r="U30" s="41"/>
      <c r="V30" s="121"/>
      <c r="W30" s="91">
        <f>6.3*5*5*0.52</f>
        <v>81.900000000000006</v>
      </c>
      <c r="X30" s="84">
        <v>92</v>
      </c>
      <c r="Y30" s="84">
        <v>160.381</v>
      </c>
      <c r="Z30" s="84">
        <f>7.8*6.1*6.1*0.52</f>
        <v>150.92376000000002</v>
      </c>
      <c r="AA30" s="84">
        <f>8.3*6.7*6.7*0.52</f>
        <v>193.74524000000002</v>
      </c>
      <c r="AB30" s="84">
        <f>8.1*6.5*6.5*0.52</f>
        <v>177.95699999999999</v>
      </c>
      <c r="AC30" s="84">
        <f>8.4*7.2*7.2*0.52</f>
        <v>226.43712000000002</v>
      </c>
      <c r="AD30" s="84">
        <f>10.7*7.5*7.5*0.52</f>
        <v>312.97500000000002</v>
      </c>
      <c r="AE30" s="84">
        <f>11.2*7.6*7.6*0.52</f>
        <v>336.39423999999997</v>
      </c>
      <c r="AF30" s="84">
        <f>10.6*8*8*0.52</f>
        <v>352.76799999999997</v>
      </c>
      <c r="AG30" s="84">
        <f>12*9.1*9.1*0.52</f>
        <v>516.73439999999994</v>
      </c>
      <c r="AH30" s="84">
        <f>12.5*9.3*9.3*0.52</f>
        <v>562.18500000000017</v>
      </c>
      <c r="AI30" s="84">
        <f>14.4*10.6*10.6*0.52</f>
        <v>841.35167999999987</v>
      </c>
      <c r="AJ30" s="84">
        <f>14.2*10.7*10.7*0.52</f>
        <v>845.39415999999983</v>
      </c>
      <c r="AK30" s="84">
        <f>14.3*10.2*10.2*0.52</f>
        <v>773.64143999999987</v>
      </c>
      <c r="AL30" s="84">
        <f>15.8*12.9*12.9*0.52</f>
        <v>1367.2245600000001</v>
      </c>
      <c r="AM30" s="84">
        <f>17.3*12.8*12.8*0.52</f>
        <v>1473.9046400000004</v>
      </c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42"/>
      <c r="BR30" s="245">
        <f t="shared" si="41"/>
        <v>0.51065899327227049</v>
      </c>
      <c r="BS30" s="245">
        <f t="shared" si="42"/>
        <v>0.5736340339566407</v>
      </c>
      <c r="BT30" s="245">
        <f t="shared" si="43"/>
        <v>1</v>
      </c>
      <c r="BU30" s="245">
        <f t="shared" si="44"/>
        <v>0.9410326659641729</v>
      </c>
      <c r="BV30" s="245">
        <f t="shared" si="45"/>
        <v>1.2080311258814949</v>
      </c>
      <c r="BW30" s="245">
        <f t="shared" si="46"/>
        <v>1.1095890410958904</v>
      </c>
      <c r="BX30" s="245">
        <f t="shared" si="47"/>
        <v>1.4118699845991733</v>
      </c>
      <c r="BY30" s="245">
        <f t="shared" si="48"/>
        <v>1.9514468671476048</v>
      </c>
      <c r="BZ30" s="245">
        <f t="shared" si="49"/>
        <v>2.0974694009888948</v>
      </c>
      <c r="CA30" s="245">
        <f t="shared" si="50"/>
        <v>2.1995622922914806</v>
      </c>
      <c r="CB30" s="245">
        <f t="shared" si="51"/>
        <v>3.2219178082191777</v>
      </c>
      <c r="CC30" s="245">
        <f t="shared" si="52"/>
        <v>3.5053092323903714</v>
      </c>
      <c r="CD30" s="245">
        <f t="shared" si="53"/>
        <v>5.2459560671151815</v>
      </c>
      <c r="CE30" s="245">
        <f t="shared" si="54"/>
        <v>5.2711615465672361</v>
      </c>
      <c r="CF30" s="245">
        <f t="shared" si="55"/>
        <v>4.8237723919915689</v>
      </c>
      <c r="CG30" s="245">
        <f t="shared" si="56"/>
        <v>8.5248536921455784</v>
      </c>
      <c r="CH30" s="245">
        <f t="shared" si="57"/>
        <v>9.1900202642457671</v>
      </c>
      <c r="CI30" s="245" t="str">
        <f t="shared" si="58"/>
        <v/>
      </c>
      <c r="CJ30" s="245" t="str">
        <f t="shared" si="59"/>
        <v/>
      </c>
      <c r="CK30" s="245" t="str">
        <f t="shared" si="60"/>
        <v/>
      </c>
      <c r="CL30" s="245" t="str">
        <f t="shared" si="61"/>
        <v/>
      </c>
      <c r="CM30" s="245" t="str">
        <f t="shared" si="62"/>
        <v/>
      </c>
      <c r="CN30" s="245" t="str">
        <f t="shared" si="63"/>
        <v/>
      </c>
      <c r="CO30" s="245" t="str">
        <f t="shared" si="64"/>
        <v/>
      </c>
      <c r="CP30" s="245" t="str">
        <f t="shared" si="65"/>
        <v/>
      </c>
      <c r="CQ30" s="245" t="str">
        <f t="shared" si="66"/>
        <v/>
      </c>
      <c r="CR30" s="245" t="str">
        <f t="shared" si="67"/>
        <v/>
      </c>
      <c r="CS30" s="245" t="str">
        <f t="shared" si="68"/>
        <v/>
      </c>
      <c r="CT30" s="245" t="str">
        <f t="shared" si="69"/>
        <v/>
      </c>
      <c r="CU30" s="245" t="str">
        <f t="shared" si="70"/>
        <v/>
      </c>
      <c r="CV30" s="245" t="str">
        <f t="shared" si="71"/>
        <v/>
      </c>
      <c r="CW30" s="245" t="str">
        <f t="shared" si="72"/>
        <v/>
      </c>
      <c r="CX30" s="245" t="str">
        <f t="shared" si="73"/>
        <v/>
      </c>
      <c r="CY30" s="245" t="str">
        <f t="shared" si="74"/>
        <v/>
      </c>
      <c r="CZ30" s="245" t="str">
        <f t="shared" si="75"/>
        <v/>
      </c>
      <c r="DA30" s="245" t="str">
        <f t="shared" si="76"/>
        <v/>
      </c>
      <c r="DB30" s="245" t="str">
        <f t="shared" si="77"/>
        <v/>
      </c>
      <c r="DC30" s="245" t="str">
        <f t="shared" si="78"/>
        <v/>
      </c>
      <c r="DD30" s="245" t="str">
        <f t="shared" si="79"/>
        <v/>
      </c>
      <c r="DE30" s="245" t="str">
        <f t="shared" si="80"/>
        <v/>
      </c>
      <c r="DF30" s="245" t="str">
        <f t="shared" si="81"/>
        <v/>
      </c>
      <c r="DG30" s="245" t="str">
        <f t="shared" si="82"/>
        <v/>
      </c>
      <c r="DH30" s="245" t="str">
        <f t="shared" si="83"/>
        <v/>
      </c>
      <c r="DI30" s="245" t="str">
        <f t="shared" si="84"/>
        <v/>
      </c>
      <c r="DJ30" s="245" t="str">
        <f t="shared" si="85"/>
        <v/>
      </c>
      <c r="DK30" s="245" t="str">
        <f t="shared" si="86"/>
        <v/>
      </c>
    </row>
    <row r="31" spans="1:115" s="88" customFormat="1">
      <c r="A31" s="108"/>
      <c r="B31" s="90"/>
      <c r="C31" s="109"/>
      <c r="D31" s="108"/>
      <c r="E31" s="100"/>
      <c r="F31" s="110"/>
      <c r="G31" s="212"/>
      <c r="H31" s="99"/>
      <c r="I31" s="110"/>
      <c r="J31" s="111"/>
      <c r="K31" s="112"/>
      <c r="L31" s="112"/>
      <c r="M31" s="111"/>
      <c r="N31" s="111"/>
      <c r="O31" s="111"/>
      <c r="P31" s="111"/>
      <c r="Q31" s="111"/>
      <c r="R31" s="111"/>
      <c r="S31" s="241"/>
      <c r="T31" s="241"/>
      <c r="U31" s="111"/>
      <c r="V31" s="90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</row>
    <row r="32" spans="1:115" ht="14.25" customHeight="1">
      <c r="A32" s="85"/>
      <c r="B32" s="85"/>
      <c r="C32" s="85"/>
      <c r="D32" s="46"/>
      <c r="E32" s="94" t="s">
        <v>16</v>
      </c>
      <c r="F32" s="86"/>
      <c r="G32" s="213"/>
      <c r="H32" s="82"/>
      <c r="I32" s="252" t="str">
        <f>E32</f>
        <v>Total</v>
      </c>
      <c r="J32" s="43">
        <f>AVERAGE(J5:J30)</f>
        <v>28.057692307692303</v>
      </c>
      <c r="K32" s="43"/>
      <c r="L32" s="43"/>
      <c r="M32" s="43">
        <f>AVERAGE(M5:M30)</f>
        <v>118.40514000000002</v>
      </c>
      <c r="N32" s="43">
        <f>AVERAGE(N5:N30)</f>
        <v>1184.0514000000001</v>
      </c>
      <c r="O32" s="43">
        <f>AVERAGE(O5:O30)</f>
        <v>39.46838000000001</v>
      </c>
      <c r="P32" s="43">
        <f>AVERAGE(P5:P30)</f>
        <v>397.73076923076923</v>
      </c>
      <c r="Q32" s="43">
        <f>AVERAGE(Q5:Q30)</f>
        <v>3.2722786014937357</v>
      </c>
      <c r="R32" s="43">
        <f>AVERAGE(R5:R30)</f>
        <v>0.32722786014937361</v>
      </c>
      <c r="T32" s="242" t="e">
        <f>AVERAGE(T5:T30)</f>
        <v>#DIV/0!</v>
      </c>
      <c r="U32" s="43" t="e">
        <f>AVERAGE(U5:U30)</f>
        <v>#DIV/0!</v>
      </c>
      <c r="V32" s="72" t="s">
        <v>9</v>
      </c>
      <c r="W32" s="78">
        <f>AVERAGE(W5:W30)</f>
        <v>79.802260000000004</v>
      </c>
      <c r="X32" s="78">
        <f>AVERAGE(X5:X30)</f>
        <v>93.776923076923083</v>
      </c>
      <c r="Y32" s="78">
        <f>AVERAGE(Y5:Y30)</f>
        <v>118.40514000000002</v>
      </c>
      <c r="Z32" s="78">
        <f>AVERAGE(Z5:Z30)</f>
        <v>169.60344000000001</v>
      </c>
      <c r="AA32" s="78">
        <f>AVERAGE(AA5:AA30)</f>
        <v>162.49002000000002</v>
      </c>
      <c r="AB32" s="78">
        <f>AVERAGE(AB5:AB30)</f>
        <v>151.61706000000001</v>
      </c>
      <c r="AC32" s="78">
        <f>AVERAGE(AC5:AC30)</f>
        <v>143.96202000000002</v>
      </c>
      <c r="AD32" s="78">
        <f>AVERAGE(AD5:AD30)</f>
        <v>167.83428000000001</v>
      </c>
      <c r="AE32" s="78">
        <f>AVERAGE(AE5:AE30)</f>
        <v>175.50094000000004</v>
      </c>
      <c r="AF32" s="78">
        <f>AVERAGE(AF5:AF30)</f>
        <v>197.93954000000002</v>
      </c>
      <c r="AG32" s="78">
        <f>AVERAGE(AG5:AG30)</f>
        <v>258.41486000000003</v>
      </c>
      <c r="AH32" s="78">
        <f>AVERAGE(AH5:AH30)</f>
        <v>324.52019999999999</v>
      </c>
      <c r="AI32" s="78">
        <f>AVERAGE(AI5:AI30)</f>
        <v>370.22413999999998</v>
      </c>
      <c r="AJ32" s="78">
        <f>AVERAGE(AJ5:AJ30)</f>
        <v>424.98460333333333</v>
      </c>
      <c r="AK32" s="78">
        <f>AVERAGE(AK5:AK30)</f>
        <v>318.90761217391304</v>
      </c>
      <c r="AL32" s="78">
        <f>AVERAGE(AL5:AL30)</f>
        <v>529.6386521739131</v>
      </c>
      <c r="AM32" s="78">
        <f>AVERAGE(AM5:AM30)</f>
        <v>520.87331636363638</v>
      </c>
      <c r="AN32" s="78">
        <f>AVERAGE(AN5:AN30)</f>
        <v>586.05998285714281</v>
      </c>
      <c r="AO32" s="78">
        <f>AVERAGE(AO5:AO30)</f>
        <v>511.96003368421054</v>
      </c>
      <c r="AP32" s="78">
        <f>AVERAGE(AP5:AP30)</f>
        <v>458.99082666666669</v>
      </c>
      <c r="AQ32" s="78">
        <f>AVERAGE(AQ5:AQ30)</f>
        <v>447.37475058823537</v>
      </c>
      <c r="AR32" s="78">
        <f>AVERAGE(AR5:AR30)</f>
        <v>472.7818875000001</v>
      </c>
      <c r="AS32" s="78">
        <f>AVERAGE(AS5:AS30)</f>
        <v>442.11363733333349</v>
      </c>
      <c r="AT32" s="78">
        <f>AVERAGE(AT5:AT30)</f>
        <v>396.99953428571428</v>
      </c>
      <c r="AU32" s="78">
        <f>AVERAGE(AU5:AU30)</f>
        <v>450.60878571428577</v>
      </c>
      <c r="AV32" s="78">
        <f>AVERAGE(AV5:AV30)</f>
        <v>563.68817142857131</v>
      </c>
      <c r="AW32" s="78">
        <f>AVERAGE(AW5:AW30)</f>
        <v>521.96916571428562</v>
      </c>
      <c r="AX32" s="78">
        <f>AVERAGE(AX5:AX30)</f>
        <v>675.54206571428574</v>
      </c>
      <c r="AY32" s="78">
        <f>AVERAGE(AY5:AY30)</f>
        <v>681.88616000000013</v>
      </c>
      <c r="AZ32" s="78">
        <f>AVERAGE(AZ5:AZ30)</f>
        <v>472.47010909090915</v>
      </c>
      <c r="BA32" s="78">
        <f>AVERAGE(BA5:BA30)</f>
        <v>491.04536000000002</v>
      </c>
      <c r="BB32" s="78">
        <f>AVERAGE(BB5:BB30)</f>
        <v>568.58364727272726</v>
      </c>
      <c r="BC32" s="78">
        <f>AVERAGE(BC5:BC30)</f>
        <v>568.47107200000005</v>
      </c>
      <c r="BD32" s="78">
        <f>AVERAGE(BD5:BD30)</f>
        <v>485.51533333333333</v>
      </c>
      <c r="BE32" s="78">
        <f>AVERAGE(BE5:BE30)</f>
        <v>438.24236444444449</v>
      </c>
      <c r="BF32" s="78">
        <f>AVERAGE(BF5:BF30)</f>
        <v>557.75512000000003</v>
      </c>
      <c r="BG32" s="78">
        <f>AVERAGE(BG5:BG30)</f>
        <v>613.81799555555563</v>
      </c>
      <c r="BH32" s="78">
        <f>AVERAGE(BH5:BH30)</f>
        <v>525.93761999999992</v>
      </c>
      <c r="BI32" s="78">
        <f>AVERAGE(BI5:BI30)</f>
        <v>608.77362000000005</v>
      </c>
      <c r="BJ32" s="78">
        <f>AVERAGE(BJ5:BJ30)</f>
        <v>427.0838</v>
      </c>
      <c r="BK32" s="78">
        <f>AVERAGE(BK5:BK30)</f>
        <v>497.38571999999994</v>
      </c>
      <c r="BL32" s="78">
        <f>AVERAGE(BL5:BL30)</f>
        <v>350.44905999999997</v>
      </c>
      <c r="BM32" s="78">
        <f>AVERAGE(BM5:BM30)</f>
        <v>359.98646666666667</v>
      </c>
      <c r="BN32" s="78">
        <f>AVERAGE(BN5:BN30)</f>
        <v>378.36447999999996</v>
      </c>
      <c r="BO32" s="78" t="e">
        <f>AVERAGE(BO5:BO30)</f>
        <v>#DIV/0!</v>
      </c>
      <c r="BP32" s="78" t="e">
        <f>AVERAGE(BP5:BP30)</f>
        <v>#DIV/0!</v>
      </c>
      <c r="BQ32" s="101" t="s">
        <v>9</v>
      </c>
      <c r="BR32" s="73">
        <f>AVERAGE(BR5:BR30)</f>
        <v>0.71194931688315499</v>
      </c>
      <c r="BS32" s="73">
        <f>AVERAGE(BS5:BS30)</f>
        <v>0.81565607646781879</v>
      </c>
      <c r="BT32" s="73">
        <f>AVERAGE(BT5:BT30)</f>
        <v>1</v>
      </c>
      <c r="BU32" s="73">
        <f>AVERAGE(BU5:BU30)</f>
        <v>1.456839826637083</v>
      </c>
      <c r="BV32" s="73">
        <f>AVERAGE(BV5:BV30)</f>
        <v>1.4011024350662902</v>
      </c>
      <c r="BW32" s="73">
        <f>AVERAGE(BW5:BW30)</f>
        <v>1.3002123469109674</v>
      </c>
      <c r="BX32" s="73">
        <f>AVERAGE(BX5:BX30)</f>
        <v>1.2486284576168172</v>
      </c>
      <c r="BY32" s="73">
        <f>AVERAGE(BY5:BY30)</f>
        <v>1.430376591994952</v>
      </c>
      <c r="BZ32" s="73">
        <f>AVERAGE(BZ5:BZ30)</f>
        <v>1.5064231395607846</v>
      </c>
      <c r="CA32" s="73">
        <f>AVERAGE(CA5:CA30)</f>
        <v>1.6890812702457718</v>
      </c>
      <c r="CB32" s="73">
        <f>AVERAGE(CB5:CB30)</f>
        <v>2.177366839052274</v>
      </c>
      <c r="CC32" s="73">
        <f>AVERAGE(CC5:CC30)</f>
        <v>2.7341157136233276</v>
      </c>
      <c r="CD32" s="73">
        <f>AVERAGE(CD5:CD30)</f>
        <v>3.0701803733962962</v>
      </c>
      <c r="CE32" s="73">
        <f>AVERAGE(CE5:CE30)</f>
        <v>3.5346210752553957</v>
      </c>
      <c r="CF32" s="73">
        <f>AVERAGE(CF5:CF30)</f>
        <v>2.8725641636257642</v>
      </c>
      <c r="CG32" s="73">
        <f>AVERAGE(CG5:CG30)</f>
        <v>4.6710417035944252</v>
      </c>
      <c r="CH32" s="73">
        <f>AVERAGE(CH5:CH30)</f>
        <v>4.7743900097965</v>
      </c>
      <c r="CI32" s="73">
        <f>AVERAGE(CI5:CI30)</f>
        <v>5.6413071214313044</v>
      </c>
      <c r="CJ32" s="73">
        <f>AVERAGE(CJ5:CJ30)</f>
        <v>4.9488611143379924</v>
      </c>
      <c r="CK32" s="73">
        <f>AVERAGE(CK5:CK30)</f>
        <v>4.876647644458016</v>
      </c>
      <c r="CL32" s="73">
        <f>AVERAGE(CL5:CL30)</f>
        <v>4.7589283677461385</v>
      </c>
      <c r="CM32" s="73">
        <f>AVERAGE(CM5:CM30)</f>
        <v>4.7015703578727663</v>
      </c>
      <c r="CN32" s="73">
        <f>AVERAGE(CN5:CN30)</f>
        <v>4.47147453511199</v>
      </c>
      <c r="CO32" s="73">
        <f>AVERAGE(CO5:CO30)</f>
        <v>4.0004302704625614</v>
      </c>
      <c r="CP32" s="73">
        <f>AVERAGE(CP5:CP30)</f>
        <v>4.5005615292284338</v>
      </c>
      <c r="CQ32" s="73">
        <f>AVERAGE(CQ5:CQ30)</f>
        <v>5.4647735538733508</v>
      </c>
      <c r="CR32" s="73">
        <f>AVERAGE(CR5:CR30)</f>
        <v>5.2063164698585567</v>
      </c>
      <c r="CS32" s="73">
        <f>AVERAGE(CS5:CS30)</f>
        <v>6.532483746346756</v>
      </c>
      <c r="CT32" s="73">
        <f>AVERAGE(CT5:CT30)</f>
        <v>6.6084523524412289</v>
      </c>
      <c r="CU32" s="73">
        <f>AVERAGE(CU5:CU30)</f>
        <v>4.4294418196213261</v>
      </c>
      <c r="CV32" s="73">
        <f>AVERAGE(CV5:CV30)</f>
        <v>4.5222611161986954</v>
      </c>
      <c r="CW32" s="73">
        <f>AVERAGE(CW5:CW30)</f>
        <v>5.3848670237051062</v>
      </c>
      <c r="CX32" s="73">
        <f>AVERAGE(CX5:CX30)</f>
        <v>4.069734715839286</v>
      </c>
      <c r="CY32" s="73">
        <f>AVERAGE(CY5:CY30)</f>
        <v>4.0260041806901734</v>
      </c>
      <c r="CZ32" s="73">
        <f>AVERAGE(CZ5:CZ30)</f>
        <v>3.6188959643015477</v>
      </c>
      <c r="DA32" s="73">
        <f>AVERAGE(DA5:DA30)</f>
        <v>4.5533554029362682</v>
      </c>
      <c r="DB32" s="73">
        <f>AVERAGE(DB5:DB30)</f>
        <v>5.0200360961179129</v>
      </c>
      <c r="DC32" s="73">
        <f>AVERAGE(DC5:DC30)</f>
        <v>4.297408865313936</v>
      </c>
      <c r="DD32" s="73">
        <f>AVERAGE(DD5:DD30)</f>
        <v>4.9124262702664154</v>
      </c>
      <c r="DE32" s="73">
        <f>AVERAGE(DE5:DE30)</f>
        <v>3.8951571456452143</v>
      </c>
      <c r="DF32" s="73">
        <f>AVERAGE(DF5:DF30)</f>
        <v>4.5306318896458349</v>
      </c>
      <c r="DG32" s="73">
        <f>AVERAGE(DG5:DG30)</f>
        <v>3.0611129436883857</v>
      </c>
      <c r="DH32" s="73">
        <f>AVERAGE(DH5:DH30)</f>
        <v>3.1390820720350576</v>
      </c>
      <c r="DI32" s="73">
        <f>AVERAGE(DI5:DI30)</f>
        <v>3.3047837893943885</v>
      </c>
      <c r="DJ32" s="73" t="e">
        <f>AVERAGE(DJ5:DJ30)</f>
        <v>#DIV/0!</v>
      </c>
      <c r="DK32" s="73" t="e">
        <f>AVERAGE(DK5:DK30)</f>
        <v>#DIV/0!</v>
      </c>
    </row>
    <row r="33" spans="1:120" ht="14.25" customHeight="1">
      <c r="A33" s="46"/>
      <c r="B33" s="45"/>
      <c r="C33" s="47"/>
      <c r="D33" s="46"/>
      <c r="E33" s="92"/>
      <c r="F33" s="71"/>
      <c r="G33" s="213"/>
      <c r="H33" s="82"/>
      <c r="I33" s="252"/>
      <c r="J33" s="43">
        <f>_xlfn.STDEV.P(J5:J30)</f>
        <v>1.7269744724234823</v>
      </c>
      <c r="K33" s="43"/>
      <c r="L33" s="43"/>
      <c r="M33" s="43">
        <f>_xlfn.STDEV.P(M5:M30)</f>
        <v>32.695326548196427</v>
      </c>
      <c r="N33" s="43">
        <f>_xlfn.STDEV.P(N5:N30)</f>
        <v>326.95326548196442</v>
      </c>
      <c r="O33" s="43">
        <f>_xlfn.STDEV.P(O5:O30)</f>
        <v>10.898442182732133</v>
      </c>
      <c r="P33" s="43">
        <f>_xlfn.STDEV.P(P5:P30)</f>
        <v>512.00034237460818</v>
      </c>
      <c r="Q33" s="43">
        <f>_xlfn.STDEV.P(Q5:Q30)</f>
        <v>4.020177671667005</v>
      </c>
      <c r="R33" s="43">
        <f>_xlfn.STDEV.P(R5:R30)</f>
        <v>0.40201776716670057</v>
      </c>
      <c r="T33" s="242" t="e">
        <f>_xlfn.STDEV.P(T5:T30)</f>
        <v>#DIV/0!</v>
      </c>
      <c r="U33" s="43" t="e">
        <f>_xlfn.STDEV.P(U5:U30)</f>
        <v>#DIV/0!</v>
      </c>
      <c r="V33" s="72" t="s">
        <v>11</v>
      </c>
      <c r="W33" s="81">
        <f>STDEVA(W5:W30)</f>
        <v>11.853818502688782</v>
      </c>
      <c r="X33" s="81">
        <f>STDEVA(X5:X30)</f>
        <v>26.187070209434324</v>
      </c>
      <c r="Y33" s="81">
        <f>STDEVA(Y5:Y30)</f>
        <v>33.342821614508352</v>
      </c>
      <c r="Z33" s="81">
        <f>STDEVA(Z5:Z30)</f>
        <v>50.184759094795176</v>
      </c>
      <c r="AA33" s="81">
        <f>STDEVA(AA5:AA30)</f>
        <v>41.348060571795358</v>
      </c>
      <c r="AB33" s="81">
        <f>STDEVA(AB5:AB30)</f>
        <v>44.144544616932237</v>
      </c>
      <c r="AC33" s="81">
        <f>STDEVA(AC5:AC30)</f>
        <v>46.394931577878125</v>
      </c>
      <c r="AD33" s="81">
        <f>STDEVA(AD5:AD30)</f>
        <v>76.068729519193326</v>
      </c>
      <c r="AE33" s="81">
        <f>STDEVA(AE5:AE30)</f>
        <v>104.0837905526831</v>
      </c>
      <c r="AF33" s="81">
        <f>STDEVA(AF5:AF30)</f>
        <v>167.23131379666302</v>
      </c>
      <c r="AG33" s="81">
        <f>STDEVA(AG5:AG30)</f>
        <v>219.34576350901438</v>
      </c>
      <c r="AH33" s="81">
        <f>STDEVA(AH5:AH30)</f>
        <v>294.06733869848648</v>
      </c>
      <c r="AI33" s="81">
        <f>STDEVA(AI5:AI30)</f>
        <v>389.10140106886308</v>
      </c>
      <c r="AJ33" s="81">
        <f>STDEVA(AJ5:AJ30)</f>
        <v>448.67236862130903</v>
      </c>
      <c r="AK33" s="81">
        <f>STDEVA(AK5:AK30)</f>
        <v>368.3836356931763</v>
      </c>
      <c r="AL33" s="81">
        <f>STDEVA(AL5:AL30)</f>
        <v>643.35354263952797</v>
      </c>
      <c r="AM33" s="81">
        <f>STDEVA(AM5:AM30)</f>
        <v>534.02651476914275</v>
      </c>
      <c r="AN33" s="81">
        <f>STDEVA(AN5:AN30)</f>
        <v>633.62385834834197</v>
      </c>
      <c r="AO33" s="81">
        <f>STDEVA(AO5:AO30)</f>
        <v>590.27821183318588</v>
      </c>
      <c r="AP33" s="81">
        <f>STDEVA(AP5:AP30)</f>
        <v>558.47418555686568</v>
      </c>
      <c r="AQ33" s="81">
        <f>STDEVA(AQ5:AQ30)</f>
        <v>516.67281725883959</v>
      </c>
      <c r="AR33" s="81">
        <f>STDEVA(AR5:AR30)</f>
        <v>482.8058847155433</v>
      </c>
      <c r="AS33" s="81">
        <f>STDEVA(AS5:AS30)</f>
        <v>456.36890535293202</v>
      </c>
      <c r="AT33" s="81">
        <f>STDEVA(AT5:AT30)</f>
        <v>352.30798091155594</v>
      </c>
      <c r="AU33" s="81">
        <f>STDEVA(AU5:AU30)</f>
        <v>381.71342407605391</v>
      </c>
      <c r="AV33" s="81">
        <f>STDEVA(AV5:AV30)</f>
        <v>477.64314583178304</v>
      </c>
      <c r="AW33" s="81">
        <f>STDEVA(AW5:AW30)</f>
        <v>470.26762815540053</v>
      </c>
      <c r="AX33" s="81">
        <f>STDEVA(AX5:AX30)</f>
        <v>575.27490877487071</v>
      </c>
      <c r="AY33" s="81">
        <f>STDEVA(AY5:AY30)</f>
        <v>676.82623683368161</v>
      </c>
      <c r="AZ33" s="81">
        <f>STDEVA(AZ5:AZ30)</f>
        <v>424.45529621739809</v>
      </c>
      <c r="BA33" s="81">
        <f>STDEVA(BA5:BA30)</f>
        <v>470.53522809195749</v>
      </c>
      <c r="BB33" s="81">
        <f>STDEVA(BB5:BB30)</f>
        <v>566.05681432050017</v>
      </c>
      <c r="BC33" s="81">
        <f>STDEVA(BC5:BC30)</f>
        <v>572.40669180780787</v>
      </c>
      <c r="BD33" s="81">
        <f>STDEVA(BD5:BD30)</f>
        <v>429.30427524602493</v>
      </c>
      <c r="BE33" s="81">
        <f>STDEVA(BE5:BE30)</f>
        <v>407.40960542403189</v>
      </c>
      <c r="BF33" s="81">
        <f>STDEVA(BF5:BF30)</f>
        <v>535.63076423977486</v>
      </c>
      <c r="BG33" s="81">
        <f>STDEVA(BG5:BG30)</f>
        <v>615.45422785879066</v>
      </c>
      <c r="BH33" s="81">
        <f>STDEVA(BH5:BH30)</f>
        <v>546.65615656450382</v>
      </c>
      <c r="BI33" s="81">
        <f>STDEVA(BI5:BI30)</f>
        <v>662.29879328906509</v>
      </c>
      <c r="BJ33" s="81">
        <f>STDEVA(BJ5:BJ30)</f>
        <v>512.24546679300806</v>
      </c>
      <c r="BK33" s="81">
        <f>STDEVA(BK5:BK30)</f>
        <v>586.21606529423923</v>
      </c>
      <c r="BL33" s="81">
        <f>STDEVA(BL5:BL30)</f>
        <v>344.81788856565908</v>
      </c>
      <c r="BM33" s="81">
        <f>STDEVA(BM5:BM30)</f>
        <v>381.10994150898199</v>
      </c>
      <c r="BN33" s="81">
        <f>STDEVA(BN5:BN30)</f>
        <v>424.03153419638443</v>
      </c>
      <c r="BO33" s="81" t="e">
        <f>STDEVA(BO5:BO30)</f>
        <v>#DIV/0!</v>
      </c>
      <c r="BP33" s="81" t="e">
        <f>STDEVA(BP5:BP30)</f>
        <v>#DIV/0!</v>
      </c>
      <c r="BQ33" s="102" t="s">
        <v>11</v>
      </c>
      <c r="BR33" s="74">
        <f>STDEVA(BR5:BR30)</f>
        <v>0.17590992757809915</v>
      </c>
      <c r="BS33" s="74">
        <f>STDEVA(BS5:BS30)</f>
        <v>0.20461385793595074</v>
      </c>
      <c r="BT33" s="74">
        <f>STDEVA(BT5:BT30)</f>
        <v>0</v>
      </c>
      <c r="BU33" s="74">
        <f>STDEVA(BU5:BU30)</f>
        <v>0.34263791873612287</v>
      </c>
      <c r="BV33" s="74">
        <f>STDEVA(BV5:BV30)</f>
        <v>0.26661758674771757</v>
      </c>
      <c r="BW33" s="74">
        <f>STDEVA(BW5:BW30)</f>
        <v>0.24525366652519912</v>
      </c>
      <c r="BX33" s="74">
        <f>STDEVA(BX5:BX30)</f>
        <v>0.35994240260496324</v>
      </c>
      <c r="BY33" s="74">
        <f>STDEVA(BY5:BY30)</f>
        <v>0.50964442222467288</v>
      </c>
      <c r="BZ33" s="74">
        <f>STDEVA(BZ5:BZ30)</f>
        <v>0.80228428685869513</v>
      </c>
      <c r="CA33" s="74">
        <f>STDEVA(CA5:CA30)</f>
        <v>1.295777951996735</v>
      </c>
      <c r="CB33" s="74">
        <f>STDEVA(CB5:CB30)</f>
        <v>1.6036787887480461</v>
      </c>
      <c r="CC33" s="74">
        <f>STDEVA(CC5:CC30)</f>
        <v>2.1695969607225378</v>
      </c>
      <c r="CD33" s="74">
        <f>STDEVA(CD5:CD30)</f>
        <v>2.8278989554512792</v>
      </c>
      <c r="CE33" s="74">
        <f>STDEVA(CE5:CE30)</f>
        <v>3.3115185908020899</v>
      </c>
      <c r="CF33" s="74">
        <f>STDEVA(CF5:CF30)</f>
        <v>3.1059744140149164</v>
      </c>
      <c r="CG33" s="74">
        <f>STDEVA(CG5:CG30)</f>
        <v>5.1970785719389951</v>
      </c>
      <c r="CH33" s="74">
        <f>STDEVA(CH5:CH30)</f>
        <v>4.7681075851198829</v>
      </c>
      <c r="CI33" s="74">
        <f>STDEVA(CI5:CI30)</f>
        <v>5.9337210263957827</v>
      </c>
      <c r="CJ33" s="74">
        <f>STDEVA(CJ5:CJ30)</f>
        <v>5.323858689302198</v>
      </c>
      <c r="CK33" s="74">
        <f>STDEVA(CK5:CK30)</f>
        <v>5.8040721251547698</v>
      </c>
      <c r="CL33" s="74">
        <f>STDEVA(CL5:CL30)</f>
        <v>5.4747440581020941</v>
      </c>
      <c r="CM33" s="74">
        <f>STDEVA(CM5:CM30)</f>
        <v>4.626463345150019</v>
      </c>
      <c r="CN33" s="74">
        <f>STDEVA(CN5:CN30)</f>
        <v>4.4592867714044653</v>
      </c>
      <c r="CO33" s="74">
        <f>STDEVA(CO5:CO30)</f>
        <v>3.6990906748473438</v>
      </c>
      <c r="CP33" s="74">
        <f>STDEVA(CP5:CP30)</f>
        <v>3.9512539886358811</v>
      </c>
      <c r="CQ33" s="74">
        <f>STDEVA(CQ5:CQ30)</f>
        <v>4.6639871456740503</v>
      </c>
      <c r="CR33" s="74">
        <f>STDEVA(CR5:CR30)</f>
        <v>4.6606389175410943</v>
      </c>
      <c r="CS33" s="74">
        <f>STDEVA(CS5:CS30)</f>
        <v>5.7501499709976773</v>
      </c>
      <c r="CT33" s="74">
        <f>STDEVA(CT5:CT30)</f>
        <v>6.2684724443977951</v>
      </c>
      <c r="CU33" s="74">
        <f>STDEVA(CU5:CU30)</f>
        <v>4.1932456860033716</v>
      </c>
      <c r="CV33" s="74">
        <f>STDEVA(CV5:CV30)</f>
        <v>4.3010878510453345</v>
      </c>
      <c r="CW33" s="74">
        <f>STDEVA(CW5:CW30)</f>
        <v>5.4174828652228699</v>
      </c>
      <c r="CX33" s="74">
        <f>STDEVA(CX5:CX30)</f>
        <v>2.8710065644757536</v>
      </c>
      <c r="CY33" s="74">
        <f>STDEVA(CY5:CY30)</f>
        <v>2.805918556651807</v>
      </c>
      <c r="CZ33" s="74">
        <f>STDEVA(CZ5:CZ30)</f>
        <v>2.6017366188279056</v>
      </c>
      <c r="DA33" s="74">
        <f>STDEVA(DA5:DA30)</f>
        <v>3.3042178847515964</v>
      </c>
      <c r="DB33" s="74">
        <f>STDEVA(DB5:DB30)</f>
        <v>3.7545975628696389</v>
      </c>
      <c r="DC33" s="74">
        <f>STDEVA(DC5:DC30)</f>
        <v>3.111995258578943</v>
      </c>
      <c r="DD33" s="74">
        <f>STDEVA(DD5:DD30)</f>
        <v>3.5775745551585079</v>
      </c>
      <c r="DE33" s="74">
        <f>STDEVA(DE5:DE30)</f>
        <v>2.9572199020040357</v>
      </c>
      <c r="DF33" s="74">
        <f>STDEVA(DF5:DF30)</f>
        <v>3.4133923753997633</v>
      </c>
      <c r="DG33" s="74">
        <f>STDEVA(DG5:DG30)</f>
        <v>1.8939759314394256</v>
      </c>
      <c r="DH33" s="74">
        <f>STDEVA(DH5:DH30)</f>
        <v>2.0192798694438472</v>
      </c>
      <c r="DI33" s="74">
        <f>STDEVA(DI5:DI30)</f>
        <v>2.191739055347794</v>
      </c>
      <c r="DJ33" s="74">
        <f>STDEVA(DJ5:DJ30)</f>
        <v>0</v>
      </c>
      <c r="DK33" s="74">
        <f>STDEVA(DK5:DK30)</f>
        <v>0</v>
      </c>
    </row>
    <row r="34" spans="1:120" ht="12.75" customHeight="1">
      <c r="A34" s="113"/>
      <c r="E34" s="93"/>
      <c r="K34" s="57"/>
      <c r="L34" s="57"/>
      <c r="P34" s="57"/>
      <c r="Q34" s="57"/>
      <c r="R34" s="57"/>
      <c r="S34" s="243"/>
      <c r="T34" s="243"/>
      <c r="U34" s="57"/>
      <c r="V34" s="45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</row>
    <row r="35" spans="1:120" ht="14.25" customHeight="1">
      <c r="A35" s="113"/>
      <c r="E35" s="118" t="str">
        <f>'FIG6 Groups'!C6</f>
        <v>AsPc-1 - Control</v>
      </c>
      <c r="I35" s="118" t="str">
        <f>E35</f>
        <v>AsPc-1 - Control</v>
      </c>
      <c r="J35" s="107">
        <f>AVERAGEIF($E$5:$E$30,$E35,J$5:J$30)</f>
        <v>27.871428571428574</v>
      </c>
      <c r="K35" s="107"/>
      <c r="L35" s="107"/>
      <c r="M35" s="107">
        <f>AVERAGEIF($E$5:$E$30,$E35,M$5:M$30)</f>
        <v>101.53312000000001</v>
      </c>
      <c r="N35" s="107">
        <f>AVERAGEIF($E$5:$E$30,$E35,N$5:N$30)</f>
        <v>1015.3312</v>
      </c>
      <c r="O35" s="107">
        <f>AVERAGEIF($E$5:$E$30,$E35,O$5:O$30)</f>
        <v>33.844373333333337</v>
      </c>
      <c r="P35" s="107">
        <f>AVERAGEIF($E$5:$E$30,$E35,P$5:P$30)</f>
        <v>0</v>
      </c>
      <c r="Q35" s="107">
        <f>AVERAGEIF($E$5:$E$30,$E35,Q$5:Q$30)</f>
        <v>0</v>
      </c>
      <c r="R35" s="107">
        <f>AVERAGEIF($E$5:$E$30,$E35,R$5:R$30)</f>
        <v>0</v>
      </c>
      <c r="S35" s="244"/>
      <c r="T35" s="244" t="e">
        <f>AVERAGEIF($E$5:$E$30,$E35,T$5:T$30)</f>
        <v>#DIV/0!</v>
      </c>
      <c r="U35" s="107" t="e">
        <f>AVERAGEIF($E$5:$E$30,$E35,U$5:U$30)</f>
        <v>#DIV/0!</v>
      </c>
      <c r="V35" s="72" t="s">
        <v>9</v>
      </c>
      <c r="W35" s="78">
        <f>AVERAGEIF($E$5:$E$30,$E35,W$5:W$30)</f>
        <v>81.906314285714274</v>
      </c>
      <c r="X35" s="78">
        <f>AVERAGEIF($E$5:$E$30,$E35,X$5:X$30)</f>
        <v>97.071428571428569</v>
      </c>
      <c r="Y35" s="78">
        <f>AVERAGEIF($E$5:$E$30,$E35,Y$5:Y$30)</f>
        <v>101.53312000000001</v>
      </c>
      <c r="Z35" s="78">
        <f>AVERAGEIF($E$5:$E$30,$E35,Z$5:Z$30)</f>
        <v>123.36056571428571</v>
      </c>
      <c r="AA35" s="78">
        <f>AVERAGEIF($E$5:$E$30,$E35,AA$5:AA$30)</f>
        <v>134.23176000000001</v>
      </c>
      <c r="AB35" s="78">
        <f>AVERAGEIF($E$5:$E$30,$E35,AB$5:AB$30)</f>
        <v>144.11257714285713</v>
      </c>
      <c r="AC35" s="78">
        <f>AVERAGEIF($E$5:$E$30,$E35,AC$5:AC$30)</f>
        <v>152.50433714285717</v>
      </c>
      <c r="AD35" s="78">
        <f>AVERAGEIF($E$5:$E$30,$E35,AD$5:AD$30)</f>
        <v>197.38472000000002</v>
      </c>
      <c r="AE35" s="78">
        <f>AVERAGEIF($E$5:$E$30,$E35,AE$5:AE$30)</f>
        <v>232.46919428571431</v>
      </c>
      <c r="AF35" s="78">
        <f>AVERAGEIF($E$5:$E$30,$E35,AF$5:AF$30)</f>
        <v>288.58677714285716</v>
      </c>
      <c r="AG35" s="78">
        <f>AVERAGEIF($E$5:$E$30,$E35,AG$5:AG$30)</f>
        <v>348.3751142857144</v>
      </c>
      <c r="AH35" s="78">
        <f>AVERAGEIF($E$5:$E$30,$E35,AH$5:AH$30)</f>
        <v>438.87792000000002</v>
      </c>
      <c r="AI35" s="78">
        <f>AVERAGEIF($E$5:$E$30,$E35,AI$5:AI$30)</f>
        <v>456.03866285714287</v>
      </c>
      <c r="AJ35" s="78">
        <f>AVERAGEIF($E$5:$E$30,$E35,AJ$5:AJ$30)</f>
        <v>521.75396000000012</v>
      </c>
      <c r="AK35" s="78">
        <f>AVERAGEIF($E$5:$E$30,$E35,AK$5:AK$30)</f>
        <v>429.34059999999999</v>
      </c>
      <c r="AL35" s="78">
        <f>AVERAGEIF($E$5:$E$30,$E35,AL$5:AL$30)</f>
        <v>668.83128000000011</v>
      </c>
      <c r="AM35" s="78">
        <f>AVERAGEIF($E$5:$E$30,$E35,AM$5:AM$30)</f>
        <v>749.6563657142857</v>
      </c>
      <c r="AN35" s="78">
        <f>AVERAGEIF($E$5:$E$30,$E35,AN$5:AN$30)</f>
        <v>932.1265942857143</v>
      </c>
      <c r="AO35" s="78">
        <f>AVERAGEIF($E$5:$E$30,$E35,AO$5:AO$30)</f>
        <v>1131.4493542857144</v>
      </c>
      <c r="AP35" s="78">
        <f>AVERAGEIF($E$5:$E$30,$E35,AP$5:AP$30)</f>
        <v>1103.4042066666664</v>
      </c>
      <c r="AQ35" s="78">
        <f>AVERAGEIF($E$5:$E$30,$E35,AQ$5:AQ$30)</f>
        <v>1126.559616</v>
      </c>
      <c r="AR35" s="78">
        <f>AVERAGEIF($E$5:$E$30,$E35,AR$5:AR$30)</f>
        <v>1165.78592</v>
      </c>
      <c r="AS35" s="78">
        <f>AVERAGEIF($E$5:$E$30,$E35,AS$5:AS$30)</f>
        <v>1135.4602133333333</v>
      </c>
      <c r="AT35" s="78">
        <f>AVERAGEIF($E$5:$E$30,$E35,AT$5:AT$30)</f>
        <v>884.60293999999988</v>
      </c>
      <c r="AU35" s="78">
        <f>AVERAGEIF($E$5:$E$30,$E35,AU$5:AU$30)</f>
        <v>888.3430400000002</v>
      </c>
      <c r="AV35" s="78">
        <f>AVERAGEIF($E$5:$E$30,$E35,AV$5:AV$30)</f>
        <v>895.76551999999992</v>
      </c>
      <c r="AW35" s="78">
        <f>AVERAGEIF($E$5:$E$30,$E35,AW$5:AW$30)</f>
        <v>728.22828000000004</v>
      </c>
      <c r="AX35" s="78">
        <f>AVERAGEIF($E$5:$E$30,$E35,AX$5:AX$30)</f>
        <v>892.18895999999995</v>
      </c>
      <c r="AY35" s="78">
        <f>AVERAGEIF($E$5:$E$30,$E35,AY$5:AY$30)</f>
        <v>985.8097600000001</v>
      </c>
      <c r="AZ35" s="78">
        <f>AVERAGEIF($E$5:$E$30,$E35,AZ$5:AZ$30)</f>
        <v>957.51448000000005</v>
      </c>
      <c r="BA35" s="78">
        <f>AVERAGEIF($E$5:$E$30,$E35,BA$5:BA$30)</f>
        <v>887.90390000000014</v>
      </c>
      <c r="BB35" s="78">
        <f>AVERAGEIF($E$5:$E$30,$E35,BB$5:BB$30)</f>
        <v>1101.8092800000002</v>
      </c>
      <c r="BC35" s="78">
        <f>AVERAGEIF($E$5:$E$30,$E35,BC$5:BC$30)</f>
        <v>486.03256000000005</v>
      </c>
      <c r="BD35" s="78">
        <f>AVERAGEIF($E$5:$E$30,$E35,BD$5:BD$30)</f>
        <v>537.58224000000007</v>
      </c>
      <c r="BE35" s="78">
        <f>AVERAGEIF($E$5:$E$30,$E35,BE$5:BE$30)</f>
        <v>454.89600000000007</v>
      </c>
      <c r="BF35" s="78">
        <f>AVERAGEIF($E$5:$E$30,$E35,BF$5:BF$30)</f>
        <v>566.68248000000006</v>
      </c>
      <c r="BG35" s="78">
        <f>AVERAGEIF($E$5:$E$30,$E35,BG$5:BG$30)</f>
        <v>499.96959999999996</v>
      </c>
      <c r="BH35" s="78">
        <f>AVERAGEIF($E$5:$E$30,$E35,BH$5:BH$30)</f>
        <v>546.87723999999992</v>
      </c>
      <c r="BI35" s="78">
        <f>AVERAGEIF($E$5:$E$30,$E35,BI$5:BI$30)</f>
        <v>555.90912000000003</v>
      </c>
      <c r="BJ35" s="78">
        <f>AVERAGEIF($E$5:$E$30,$E35,BJ$5:BJ$30)</f>
        <v>422.70904000000007</v>
      </c>
      <c r="BK35" s="78">
        <f>AVERAGEIF($E$5:$E$30,$E35,BK$5:BK$30)</f>
        <v>515.60027999999988</v>
      </c>
      <c r="BL35" s="78">
        <f>AVERAGEIF($E$5:$E$30,$E35,BL$5:BL$30)</f>
        <v>515.44064000000014</v>
      </c>
      <c r="BM35" s="78">
        <f>AVERAGEIF($E$5:$E$30,$E35,BM$5:BM$30)</f>
        <v>418.6462800000001</v>
      </c>
      <c r="BN35" s="78">
        <f>AVERAGEIF($E$5:$E$30,$E35,BN$5:BN$30)</f>
        <v>422.65600000000001</v>
      </c>
      <c r="BO35" s="78" t="e">
        <f>AVERAGEIF($E$5:$E$30,$E35,BO$5:BO$30)</f>
        <v>#DIV/0!</v>
      </c>
      <c r="BP35" s="78" t="e">
        <f>AVERAGEIF($E$5:$E$30,$E35,BP$5:BP$30)</f>
        <v>#DIV/0!</v>
      </c>
      <c r="BQ35" s="103" t="s">
        <v>9</v>
      </c>
      <c r="BR35" s="73">
        <f>AVERAGEIF($E$5:$E$30,$E35,BR$5:BR$30)</f>
        <v>0.84477738765839538</v>
      </c>
      <c r="BS35" s="73">
        <f>AVERAGEIF($E$5:$E$30,$E35,BS$5:BS$30)</f>
        <v>0.96062345146469819</v>
      </c>
      <c r="BT35" s="73">
        <f>AVERAGEIF($E$5:$E$30,$E35,BT$5:BT$30)</f>
        <v>1</v>
      </c>
      <c r="BU35" s="73">
        <f>AVERAGEIF($E$5:$E$30,$E35,BU$5:BU$30)</f>
        <v>1.2272828728392078</v>
      </c>
      <c r="BV35" s="73">
        <f>AVERAGEIF($E$5:$E$30,$E35,BV$5:BV$30)</f>
        <v>1.3372389725206377</v>
      </c>
      <c r="BW35" s="73">
        <f>AVERAGEIF($E$5:$E$30,$E35,BW$5:BW$30)</f>
        <v>1.4070357289326674</v>
      </c>
      <c r="BX35" s="73">
        <f>AVERAGEIF($E$5:$E$30,$E35,BX$5:BX$30)</f>
        <v>1.5411399564752166</v>
      </c>
      <c r="BY35" s="73">
        <f>AVERAGEIF($E$5:$E$30,$E35,BY$5:BY$30)</f>
        <v>1.9381467653345896</v>
      </c>
      <c r="BZ35" s="73">
        <f>AVERAGEIF($E$5:$E$30,$E35,BZ$5:BZ$30)</f>
        <v>2.2836952288266228</v>
      </c>
      <c r="CA35" s="73">
        <f>AVERAGEIF($E$5:$E$30,$E35,CA$5:CA$30)</f>
        <v>2.8687752747852238</v>
      </c>
      <c r="CB35" s="73">
        <f>AVERAGEIF($E$5:$E$30,$E35,CB$5:CB$30)</f>
        <v>3.4840006236133165</v>
      </c>
      <c r="CC35" s="73">
        <f>AVERAGEIF($E$5:$E$30,$E35,CC$5:CC$30)</f>
        <v>4.2751276766824633</v>
      </c>
      <c r="CD35" s="73">
        <f>AVERAGEIF($E$5:$E$30,$E35,CD$5:CD$30)</f>
        <v>4.5593353516451804</v>
      </c>
      <c r="CE35" s="73">
        <f>AVERAGEIF($E$5:$E$30,$E35,CE$5:CE$30)</f>
        <v>5.221586572723611</v>
      </c>
      <c r="CF35" s="73">
        <f>AVERAGEIF($E$5:$E$30,$E35,CF$5:CF$30)</f>
        <v>4.358944483454076</v>
      </c>
      <c r="CG35" s="73">
        <f>AVERAGEIF($E$5:$E$30,$E35,CG$5:CG$30)</f>
        <v>6.691604390230653</v>
      </c>
      <c r="CH35" s="73">
        <f>AVERAGEIF($E$5:$E$30,$E35,CH$5:CH$30)</f>
        <v>7.5817732656772474</v>
      </c>
      <c r="CI35" s="73">
        <f>AVERAGEIF($E$5:$E$30,$E35,CI$5:CI$30)</f>
        <v>9.4435301708842498</v>
      </c>
      <c r="CJ35" s="73">
        <f>AVERAGEIF($E$5:$E$30,$E35,CJ$5:CJ$30)</f>
        <v>11.288502223238117</v>
      </c>
      <c r="CK35" s="73">
        <f>AVERAGEIF($E$5:$E$30,$E35,CK$5:CK$30)</f>
        <v>12.351114989748369</v>
      </c>
      <c r="CL35" s="73">
        <f>AVERAGEIF($E$5:$E$30,$E35,CL$5:CL$30)</f>
        <v>12.844605908227413</v>
      </c>
      <c r="CM35" s="73">
        <f>AVERAGEIF($E$5:$E$30,$E35,CM$5:CM$30)</f>
        <v>12.410424444071852</v>
      </c>
      <c r="CN35" s="73">
        <f>AVERAGEIF($E$5:$E$30,$E35,CN$5:CN$30)</f>
        <v>12.635627730471427</v>
      </c>
      <c r="CO35" s="73">
        <f>AVERAGEIF($E$5:$E$30,$E35,CO$5:CO$30)</f>
        <v>10.67835573583347</v>
      </c>
      <c r="CP35" s="73">
        <f>AVERAGEIF($E$5:$E$30,$E35,CP$5:CP$30)</f>
        <v>10.604480676132647</v>
      </c>
      <c r="CQ35" s="73">
        <f>AVERAGEIF($E$5:$E$30,$E35,CQ$5:CQ$30)</f>
        <v>10.453921158134719</v>
      </c>
      <c r="CR35" s="73">
        <f>AVERAGEIF($E$5:$E$30,$E35,CR$5:CR$30)</f>
        <v>9.0917549531425177</v>
      </c>
      <c r="CS35" s="73">
        <f>AVERAGEIF($E$5:$E$30,$E35,CS$5:CS$30)</f>
        <v>11.328431353903284</v>
      </c>
      <c r="CT35" s="73">
        <f>AVERAGEIF($E$5:$E$30,$E35,CT$5:CT$30)</f>
        <v>12.669449435106799</v>
      </c>
      <c r="CU35" s="73">
        <f>AVERAGEIF($E$5:$E$30,$E35,CU$5:CU$30)</f>
        <v>12.48660560795974</v>
      </c>
      <c r="CV35" s="73">
        <f>AVERAGEIF($E$5:$E$30,$E35,CV$5:CV$30)</f>
        <v>11.881812175485194</v>
      </c>
      <c r="CW35" s="73">
        <f>AVERAGEIF($E$5:$E$30,$E35,CW$5:CW$30)</f>
        <v>14.934189482677603</v>
      </c>
      <c r="CX35" s="73">
        <f>AVERAGEIF($E$5:$E$30,$E35,CX$5:CX$30)</f>
        <v>4.4364608104195451</v>
      </c>
      <c r="CY35" s="73">
        <f>AVERAGEIF($E$5:$E$30,$E35,CY$5:CY$30)</f>
        <v>4.9070015805886635</v>
      </c>
      <c r="CZ35" s="73">
        <f>AVERAGEIF($E$5:$E$30,$E35,CZ$5:CZ$30)</f>
        <v>4.1522491349480974</v>
      </c>
      <c r="DA35" s="73">
        <f>AVERAGEIF($E$5:$E$30,$E35,DA$5:DA$30)</f>
        <v>5.1726259131103429</v>
      </c>
      <c r="DB35" s="73">
        <f>AVERAGEIF($E$5:$E$30,$E35,DB$5:DB$30)</f>
        <v>4.5636768384429534</v>
      </c>
      <c r="DC35" s="73">
        <f>AVERAGEIF($E$5:$E$30,$E35,DC$5:DC$30)</f>
        <v>4.9918454915251012</v>
      </c>
      <c r="DD35" s="73">
        <f>AVERAGEIF($E$5:$E$30,$E35,DD$5:DD$30)</f>
        <v>5.0742876671365718</v>
      </c>
      <c r="DE35" s="73">
        <f>AVERAGEIF($E$5:$E$30,$E35,DE$5:DE$30)</f>
        <v>3.8584495042267704</v>
      </c>
      <c r="DF35" s="73">
        <f>AVERAGEIF($E$5:$E$30,$E35,DF$5:DF$30)</f>
        <v>4.7063522576786694</v>
      </c>
      <c r="DG35" s="73">
        <f>AVERAGEIF($E$5:$E$30,$E35,DG$5:DG$30)</f>
        <v>4.70489507834119</v>
      </c>
      <c r="DH35" s="73">
        <f>AVERAGEIF($E$5:$E$30,$E35,DH$5:DH$30)</f>
        <v>3.8213650020647338</v>
      </c>
      <c r="DI35" s="73">
        <f>AVERAGEIF($E$5:$E$30,$E35,DI$5:DI$30)</f>
        <v>3.8579653599517756</v>
      </c>
      <c r="DJ35" s="73" t="e">
        <f>AVERAGEIF($E$5:$E$30,$E35,DJ$5:DJ$30)</f>
        <v>#DIV/0!</v>
      </c>
      <c r="DK35" s="73" t="e">
        <f>AVERAGEIF($E$5:$E$30,$E35,DK$5:DK$30)</f>
        <v>#DIV/0!</v>
      </c>
    </row>
    <row r="36" spans="1:120" ht="14.25" customHeight="1">
      <c r="A36" s="113"/>
      <c r="E36" s="93"/>
      <c r="I36" s="93"/>
      <c r="J36" s="107">
        <f t="array" ref="J36">_xlfn.STDEV.P(IF($E$5:$E$30=$E35,J$5:J$30))</f>
        <v>1.631576175459341</v>
      </c>
      <c r="K36" s="107"/>
      <c r="L36" s="107"/>
      <c r="M36" s="107">
        <f t="array" ref="M36">_xlfn.STDEV.P(IF($E$5:$E$30=$E35,M$5:M$30))</f>
        <v>30.159350237631386</v>
      </c>
      <c r="N36" s="107">
        <f t="array" ref="N36">_xlfn.STDEV.P(IF($E$5:$E$30=$E35,N$5:N$30))</f>
        <v>301.59350237631412</v>
      </c>
      <c r="O36" s="107">
        <f t="array" ref="O36">_xlfn.STDEV.P(IF($E$5:$E$30=$E35,O$5:O$30))</f>
        <v>10.053116745877114</v>
      </c>
      <c r="P36" s="107">
        <f t="array" ref="P36">_xlfn.STDEV.P(IF($E$5:$E$30=$E35,P$5:P$30))</f>
        <v>0</v>
      </c>
      <c r="Q36" s="107">
        <f t="array" ref="Q36">_xlfn.STDEV.P(IF($E$5:$E$30=$E35,Q$5:Q$30))</f>
        <v>0</v>
      </c>
      <c r="R36" s="107">
        <f t="array" ref="R36">_xlfn.STDEV.P(IF($E$5:$E$30=$E35,R$5:R$30))</f>
        <v>0</v>
      </c>
      <c r="S36" s="244"/>
      <c r="T36" s="244">
        <f t="array" ref="T36">_xlfn.STDEV.P(IF($E$5:$E$30=$E35,T$5:T$30))</f>
        <v>0</v>
      </c>
      <c r="U36" s="107">
        <f t="array" ref="U36">_xlfn.STDEV.P(IF($E$5:$E$30=$E35,U$5:U$30))</f>
        <v>0</v>
      </c>
      <c r="V36" s="72" t="s">
        <v>11</v>
      </c>
      <c r="W36" s="81">
        <f t="array" ref="W36">_xlfn.STDEV.P(IF($E$5:$E$30=$E35,W$5:W$30))</f>
        <v>12.34038217100141</v>
      </c>
      <c r="X36" s="81">
        <f t="array" ref="X36">_xlfn.STDEV.P(IF($E$5:$E$30=$E35,X$5:X$30))</f>
        <v>29.539451309621015</v>
      </c>
      <c r="Y36" s="81">
        <f t="array" ref="Y36">_xlfn.STDEV.P(IF($E$5:$E$30=$E35,Y$5:Y$30))</f>
        <v>30.159350237631386</v>
      </c>
      <c r="Z36" s="81">
        <f t="array" ref="Z36">_xlfn.STDEV.P(IF($E$5:$E$30=$E35,Z$5:Z$30))</f>
        <v>34.749864154639681</v>
      </c>
      <c r="AA36" s="81">
        <f t="array" ref="AA36">_xlfn.STDEV.P(IF($E$5:$E$30=$E35,AA$5:AA$30))</f>
        <v>35.648964071825247</v>
      </c>
      <c r="AB36" s="81">
        <f t="array" ref="AB36">_xlfn.STDEV.P(IF($E$5:$E$30=$E35,AB$5:AB$30))</f>
        <v>50.430888009485919</v>
      </c>
      <c r="AC36" s="81">
        <f t="array" ref="AC36">_xlfn.STDEV.P(IF($E$5:$E$30=$E35,AC$5:AC$30))</f>
        <v>32.18477959501687</v>
      </c>
      <c r="AD36" s="81">
        <f t="array" ref="AD36">_xlfn.STDEV.P(IF($E$5:$E$30=$E35,AD$5:AD$30))</f>
        <v>66.212899193231479</v>
      </c>
      <c r="AE36" s="81">
        <f t="array" ref="AE36">_xlfn.STDEV.P(IF($E$5:$E$30=$E35,AE$5:AE$30))</f>
        <v>87.625058441506724</v>
      </c>
      <c r="AF36" s="81">
        <f t="array" ref="AF36">_xlfn.STDEV.P(IF($E$5:$E$30=$E35,AF$5:AF$30))</f>
        <v>110.44070286169242</v>
      </c>
      <c r="AG36" s="81">
        <f t="array" ref="AG36">_xlfn.STDEV.P(IF($E$5:$E$30=$E35,AG$5:AG$30))</f>
        <v>111.12038399431414</v>
      </c>
      <c r="AH36" s="81">
        <f t="array" ref="AH36">_xlfn.STDEV.P(IF($E$5:$E$30=$E35,AH$5:AH$30))</f>
        <v>164.65449039038802</v>
      </c>
      <c r="AI36" s="81">
        <f t="array" ref="AI36">_xlfn.STDEV.P(IF($E$5:$E$30=$E35,AI$5:AI$30))</f>
        <v>197.20819666326284</v>
      </c>
      <c r="AJ36" s="81">
        <f t="array" ref="AJ36">_xlfn.STDEV.P(IF($E$5:$E$30=$E35,AJ$5:AJ$30))</f>
        <v>172.64983873339773</v>
      </c>
      <c r="AK36" s="81">
        <f t="array" ref="AK36">_xlfn.STDEV.P(IF($E$5:$E$30=$E35,AK$5:AK$30))</f>
        <v>183.9286551812834</v>
      </c>
      <c r="AL36" s="81">
        <f t="array" ref="AL36">_xlfn.STDEV.P(IF($E$5:$E$30=$E35,AL$5:AL$30))</f>
        <v>245.54235149158001</v>
      </c>
      <c r="AM36" s="81">
        <f t="array" ref="AM36">_xlfn.STDEV.P(IF($E$5:$E$30=$E35,AM$5:AM$30))</f>
        <v>242.62101950869132</v>
      </c>
      <c r="AN36" s="81">
        <f t="array" ref="AN36">_xlfn.STDEV.P(IF($E$5:$E$30=$E35,AN$5:AN$30))</f>
        <v>341.92128616272589</v>
      </c>
      <c r="AO36" s="81">
        <f t="array" ref="AO36">_xlfn.STDEV.P(IF($E$5:$E$30=$E35,AO$5:AO$30))</f>
        <v>469.35348133911697</v>
      </c>
      <c r="AP36" s="81">
        <f t="array" ref="AP36">_xlfn.STDEV.P(IF($E$5:$E$30=$E35,AP$5:AP$30))</f>
        <v>574.73942058996954</v>
      </c>
      <c r="AQ36" s="81">
        <f t="array" ref="AQ36">_xlfn.STDEV.P(IF($E$5:$E$30=$E35,AQ$5:AQ$30))</f>
        <v>599.18129765567073</v>
      </c>
      <c r="AR36" s="81">
        <f t="array" ref="AR36">_xlfn.STDEV.P(IF($E$5:$E$30=$E35,AR$5:AR$30))</f>
        <v>637.16516697616169</v>
      </c>
      <c r="AS36" s="81">
        <f t="array" ref="AS36">_xlfn.STDEV.P(IF($E$5:$E$30=$E35,AS$5:AS$30))</f>
        <v>615.72081859622824</v>
      </c>
      <c r="AT36" s="81">
        <f t="array" ref="AT36">_xlfn.STDEV.P(IF($E$5:$E$30=$E35,AT$5:AT$30))</f>
        <v>402.03623647814646</v>
      </c>
      <c r="AU36" s="81">
        <f t="array" ref="AU36">_xlfn.STDEV.P(IF($E$5:$E$30=$E35,AU$5:AU$30))</f>
        <v>401.83809094770385</v>
      </c>
      <c r="AV36" s="81">
        <f t="array" ref="AV36">_xlfn.STDEV.P(IF($E$5:$E$30=$E35,AV$5:AV$30))</f>
        <v>405.54905131698627</v>
      </c>
      <c r="AW36" s="81">
        <f t="array" ref="AW36">_xlfn.STDEV.P(IF($E$5:$E$30=$E35,AW$5:AW$30))</f>
        <v>342.69124928533506</v>
      </c>
      <c r="AX36" s="81">
        <f t="array" ref="AX36">_xlfn.STDEV.P(IF($E$5:$E$30=$E35,AX$5:AX$30))</f>
        <v>431.90547916819003</v>
      </c>
      <c r="AY36" s="81">
        <f t="array" ref="AY36">_xlfn.STDEV.P(IF($E$5:$E$30=$E35,AY$5:AY$30))</f>
        <v>488.90428524297323</v>
      </c>
      <c r="AZ36" s="81">
        <f t="array" ref="AZ36">_xlfn.STDEV.P(IF($E$5:$E$30=$E35,AZ$5:AZ$30))</f>
        <v>490.76946275153625</v>
      </c>
      <c r="BA36" s="81">
        <f t="array" ref="BA36">_xlfn.STDEV.P(IF($E$5:$E$30=$E35,BA$5:BA$30))</f>
        <v>486.39542084616636</v>
      </c>
      <c r="BB36" s="81">
        <f t="array" ref="BB36">_xlfn.STDEV.P(IF($E$5:$E$30=$E35,BB$5:BB$30))</f>
        <v>625.66876454790292</v>
      </c>
      <c r="BC36" s="81">
        <f t="array" ref="BC36">_xlfn.STDEV.P(IF($E$5:$E$30=$E35,BC$5:BC$30))</f>
        <v>170.07596719694996</v>
      </c>
      <c r="BD36" s="81">
        <f t="array" ref="BD36">_xlfn.STDEV.P(IF($E$5:$E$30=$E35,BD$5:BD$30))</f>
        <v>188.11459754034357</v>
      </c>
      <c r="BE36" s="81">
        <f t="array" ref="BE36">_xlfn.STDEV.P(IF($E$5:$E$30=$E35,BE$5:BE$30))</f>
        <v>159.18044086187098</v>
      </c>
      <c r="BF36" s="81">
        <f t="array" ref="BF36">_xlfn.STDEV.P(IF($E$5:$E$30=$E35,BF$5:BF$30))</f>
        <v>198.2975603107048</v>
      </c>
      <c r="BG36" s="81">
        <f t="array" ref="BG36">_xlfn.STDEV.P(IF($E$5:$E$30=$E35,BG$5:BG$30))</f>
        <v>174.95291527191549</v>
      </c>
      <c r="BH36" s="81">
        <f t="array" ref="BH36">_xlfn.STDEV.P(IF($E$5:$E$30=$E35,BH$5:BH$30))</f>
        <v>191.36716999165347</v>
      </c>
      <c r="BI36" s="81">
        <f t="array" ref="BI36">_xlfn.STDEV.P(IF($E$5:$E$30=$E35,BI$5:BI$30))</f>
        <v>194.52766962280327</v>
      </c>
      <c r="BJ36" s="81">
        <f t="array" ref="BJ36">_xlfn.STDEV.P(IF($E$5:$E$30=$E35,BJ$5:BJ$30))</f>
        <v>147.91735109453205</v>
      </c>
      <c r="BK36" s="81">
        <f t="array" ref="BK36">_xlfn.STDEV.P(IF($E$5:$E$30=$E35,BK$5:BK$30))</f>
        <v>180.42251389087633</v>
      </c>
      <c r="BL36" s="81">
        <f t="array" ref="BL36">_xlfn.STDEV.P(IF($E$5:$E$30=$E35,BL$5:BL$30))</f>
        <v>180.36665152765673</v>
      </c>
      <c r="BM36" s="81">
        <f t="array" ref="BM36">_xlfn.STDEV.P(IF($E$5:$E$30=$E35,BM$5:BM$30))</f>
        <v>146.49568124490492</v>
      </c>
      <c r="BN36" s="81">
        <f t="array" ref="BN36">_xlfn.STDEV.P(IF($E$5:$E$30=$E35,BN$5:BN$30))</f>
        <v>147.89879096082385</v>
      </c>
      <c r="BO36" s="81">
        <f t="array" ref="BO36">_xlfn.STDEV.P(IF($E$5:$E$30=$E35,BO$5:BO$30))</f>
        <v>0</v>
      </c>
      <c r="BP36" s="81">
        <f t="array" ref="BP36">_xlfn.STDEV.P(IF($E$5:$E$30=$E35,BP$5:BP$30))</f>
        <v>0</v>
      </c>
      <c r="BQ36" s="104" t="s">
        <v>11</v>
      </c>
      <c r="BR36" s="74">
        <f t="array" ref="BR36">_xlfn.STDEV.P(IF($E$5:$E$30=$E35,BR$5:BR$30))</f>
        <v>0.16492154596807537</v>
      </c>
      <c r="BS36" s="74">
        <f t="array" ref="BS36">_xlfn.STDEV.P(IF($E$5:$E$30=$E35,BS$5:BS$30))</f>
        <v>0.12283076413701238</v>
      </c>
      <c r="BT36" s="74">
        <f t="array" ref="BT36">_xlfn.STDEV.P(IF($E$5:$E$30=$E35,BT$5:BT$30))</f>
        <v>0</v>
      </c>
      <c r="BU36" s="74">
        <f t="array" ref="BU36">_xlfn.STDEV.P(IF($E$5:$E$30=$E35,BU$5:BU$30))</f>
        <v>0.18564757985097644</v>
      </c>
      <c r="BV36" s="74">
        <f t="array" ref="BV36">_xlfn.STDEV.P(IF($E$5:$E$30=$E35,BV$5:BV$30))</f>
        <v>0.18083391231095486</v>
      </c>
      <c r="BW36" s="74">
        <f t="array" ref="BW36">_xlfn.STDEV.P(IF($E$5:$E$30=$E35,BW$5:BW$30))</f>
        <v>0.16842978302285569</v>
      </c>
      <c r="BX36" s="74">
        <f t="array" ref="BX36">_xlfn.STDEV.P(IF($E$5:$E$30=$E35,BX$5:BX$30))</f>
        <v>0.21465683041614766</v>
      </c>
      <c r="BY36" s="74">
        <f t="array" ref="BY36">_xlfn.STDEV.P(IF($E$5:$E$30=$E35,BY$5:BY$30))</f>
        <v>0.26535403434099147</v>
      </c>
      <c r="BZ36" s="74">
        <f t="array" ref="BZ36">_xlfn.STDEV.P(IF($E$5:$E$30=$E35,BZ$5:BZ$30))</f>
        <v>0.61523832635184239</v>
      </c>
      <c r="CA36" s="74">
        <f t="array" ref="CA36">_xlfn.STDEV.P(IF($E$5:$E$30=$E35,CA$5:CA$30))</f>
        <v>0.80899226411291258</v>
      </c>
      <c r="CB36" s="74">
        <f t="array" ref="CB36">_xlfn.STDEV.P(IF($E$5:$E$30=$E35,CB$5:CB$30))</f>
        <v>0.82869216342308427</v>
      </c>
      <c r="CC36" s="74">
        <f t="array" ref="CC36">_xlfn.STDEV.P(IF($E$5:$E$30=$E35,CC$5:CC$30))</f>
        <v>0.98581574775441816</v>
      </c>
      <c r="CD36" s="74">
        <f t="array" ref="CD36">_xlfn.STDEV.P(IF($E$5:$E$30=$E35,CD$5:CD$30))</f>
        <v>1.7097178144457643</v>
      </c>
      <c r="CE36" s="74">
        <f t="array" ref="CE36">_xlfn.STDEV.P(IF($E$5:$E$30=$E35,CE$5:CE$30))</f>
        <v>1.4143208803925622</v>
      </c>
      <c r="CF36" s="74">
        <f t="array" ref="CF36">_xlfn.STDEV.P(IF($E$5:$E$30=$E35,CF$5:CF$30))</f>
        <v>1.9062100308827792</v>
      </c>
      <c r="CG36" s="74">
        <f t="array" ref="CG36">_xlfn.STDEV.P(IF($E$5:$E$30=$E35,CG$5:CG$30))</f>
        <v>2.1631543205288652</v>
      </c>
      <c r="CH36" s="74">
        <f t="array" ref="CH36">_xlfn.STDEV.P(IF($E$5:$E$30=$E35,CH$5:CH$30))</f>
        <v>2.2173217725529173</v>
      </c>
      <c r="CI36" s="74">
        <f t="array" ref="CI36">_xlfn.STDEV.P(IF($E$5:$E$30=$E35,CI$5:CI$30))</f>
        <v>3.1455131373744187</v>
      </c>
      <c r="CJ36" s="74">
        <f t="array" ref="CJ36">_xlfn.STDEV.P(IF($E$5:$E$30=$E35,CJ$5:CJ$30))</f>
        <v>3.8481039111501127</v>
      </c>
      <c r="CK36" s="74">
        <f t="array" ref="CK36">_xlfn.STDEV.P(IF($E$5:$E$30=$E35,CK$5:CK$30))</f>
        <v>5.5789720738144126</v>
      </c>
      <c r="CL36" s="74">
        <f t="array" ref="CL36">_xlfn.STDEV.P(IF($E$5:$E$30=$E35,CL$5:CL$30))</f>
        <v>5.0845139909503363</v>
      </c>
      <c r="CM36" s="74">
        <f t="array" ref="CM36">_xlfn.STDEV.P(IF($E$5:$E$30=$E35,CM$5:CM$30))</f>
        <v>3.1671507722952943</v>
      </c>
      <c r="CN36" s="74">
        <f t="array" ref="CN36">_xlfn.STDEV.P(IF($E$5:$E$30=$E35,CN$5:CN$30))</f>
        <v>3.9758183712325117</v>
      </c>
      <c r="CO36" s="74">
        <f t="array" ref="CO36">_xlfn.STDEV.P(IF($E$5:$E$30=$E35,CO$5:CO$30))</f>
        <v>3.3549046415250179</v>
      </c>
      <c r="CP36" s="74">
        <f t="array" ref="CP36">_xlfn.STDEV.P(IF($E$5:$E$30=$E35,CP$5:CP$30))</f>
        <v>2.8466287578296168</v>
      </c>
      <c r="CQ36" s="74">
        <f t="array" ref="CQ36">_xlfn.STDEV.P(IF($E$5:$E$30=$E35,CQ$5:CQ$30))</f>
        <v>1.8205845022426463</v>
      </c>
      <c r="CR36" s="74">
        <f t="array" ref="CR36">_xlfn.STDEV.P(IF($E$5:$E$30=$E35,CR$5:CR$30))</f>
        <v>4.0833393864801213</v>
      </c>
      <c r="CS36" s="74">
        <f t="array" ref="CS36">_xlfn.STDEV.P(IF($E$5:$E$30=$E35,CS$5:CS$30))</f>
        <v>5.8352592121344502</v>
      </c>
      <c r="CT36" s="74">
        <f t="array" ref="CT36">_xlfn.STDEV.P(IF($E$5:$E$30=$E35,CT$5:CT$30))</f>
        <v>7.1160298101762196</v>
      </c>
      <c r="CU36" s="74">
        <f t="array" ref="CU36">_xlfn.STDEV.P(IF($E$5:$E$30=$E35,CU$5:CU$30))</f>
        <v>7.7054245807195016</v>
      </c>
      <c r="CV36" s="74">
        <f t="array" ref="CV36">_xlfn.STDEV.P(IF($E$5:$E$30=$E35,CV$5:CV$30))</f>
        <v>8.475168956590279</v>
      </c>
      <c r="CW36" s="74">
        <f t="array" ref="CW36">_xlfn.STDEV.P(IF($E$5:$E$30=$E35,CW$5:CW$30))</f>
        <v>11.350610517322398</v>
      </c>
      <c r="CX36" s="74">
        <f t="array" ref="CX36">_xlfn.STDEV.P(IF($E$5:$E$30=$E35,CX$5:CX$30))</f>
        <v>0</v>
      </c>
      <c r="CY36" s="74">
        <f t="array" ref="CY36">_xlfn.STDEV.P(IF($E$5:$E$30=$E35,CY$5:CY$30))</f>
        <v>0</v>
      </c>
      <c r="CZ36" s="74">
        <f t="array" ref="CZ36">_xlfn.STDEV.P(IF($E$5:$E$30=$E35,CZ$5:CZ$30))</f>
        <v>0</v>
      </c>
      <c r="DA36" s="74">
        <f t="array" ref="DA36">_xlfn.STDEV.P(IF($E$5:$E$30=$E35,DA$5:DA$30))</f>
        <v>0</v>
      </c>
      <c r="DB36" s="74">
        <f t="array" ref="DB36">_xlfn.STDEV.P(IF($E$5:$E$30=$E35,DB$5:DB$30))</f>
        <v>0</v>
      </c>
      <c r="DC36" s="74">
        <f t="array" ref="DC36">_xlfn.STDEV.P(IF($E$5:$E$30=$E35,DC$5:DC$30))</f>
        <v>0</v>
      </c>
      <c r="DD36" s="74">
        <f t="array" ref="DD36">_xlfn.STDEV.P(IF($E$5:$E$30=$E35,DD$5:DD$30))</f>
        <v>0</v>
      </c>
      <c r="DE36" s="74">
        <f t="array" ref="DE36">_xlfn.STDEV.P(IF($E$5:$E$30=$E35,DE$5:DE$30))</f>
        <v>0</v>
      </c>
      <c r="DF36" s="74">
        <f t="array" ref="DF36">_xlfn.STDEV.P(IF($E$5:$E$30=$E35,DF$5:DF$30))</f>
        <v>0</v>
      </c>
      <c r="DG36" s="74">
        <f t="array" ref="DG36">_xlfn.STDEV.P(IF($E$5:$E$30=$E35,DG$5:DG$30))</f>
        <v>0</v>
      </c>
      <c r="DH36" s="74">
        <f t="array" ref="DH36">_xlfn.STDEV.P(IF($E$5:$E$30=$E35,DH$5:DH$30))</f>
        <v>0</v>
      </c>
      <c r="DI36" s="74">
        <f t="array" ref="DI36">_xlfn.STDEV.P(IF($E$5:$E$30=$E35,DI$5:DI$30))</f>
        <v>0</v>
      </c>
      <c r="DJ36" s="74" t="e">
        <f t="array" ref="DJ36">_xlfn.STDEV.P(IF($E$5:$E$30=$E35,DJ$5:DJ$30))</f>
        <v>#DIV/0!</v>
      </c>
      <c r="DK36" s="74" t="e">
        <f t="array" ref="DK36">_xlfn.STDEV.P(IF($E$5:$E$30=$E35,DK$5:DK$30))</f>
        <v>#DIV/0!</v>
      </c>
    </row>
    <row r="37" spans="1:120" ht="15">
      <c r="A37" s="113"/>
      <c r="E37" s="52"/>
      <c r="I37" s="52"/>
      <c r="K37" s="57"/>
      <c r="L37" s="57"/>
      <c r="P37" s="57"/>
      <c r="Q37" s="57"/>
      <c r="R37" s="57"/>
      <c r="S37" s="243"/>
      <c r="T37" s="243"/>
      <c r="U37" s="57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DF37" s="44"/>
      <c r="DG37" s="44"/>
      <c r="DH37" s="44"/>
      <c r="DI37" s="44"/>
      <c r="DJ37" s="44"/>
      <c r="DK37" s="44"/>
      <c r="DL37" s="176" t="e">
        <f>#REF!</f>
        <v>#REF!</v>
      </c>
      <c r="DM37" s="176" t="e">
        <f>#REF!</f>
        <v>#REF!</v>
      </c>
      <c r="DN37" s="176" t="e">
        <f>#REF!</f>
        <v>#REF!</v>
      </c>
      <c r="DO37" s="176" t="e">
        <f>#REF!</f>
        <v>#REF!</v>
      </c>
      <c r="DP37" s="176" t="e">
        <f>#REF!</f>
        <v>#REF!</v>
      </c>
    </row>
    <row r="38" spans="1:120" ht="14.25" customHeight="1">
      <c r="A38" s="113"/>
      <c r="E38" s="118" t="s">
        <v>61</v>
      </c>
      <c r="I38" s="118" t="str">
        <f>E38</f>
        <v>BxPc3 - CP-PTX Combo</v>
      </c>
      <c r="J38" s="107" t="e">
        <f>AVERAGEIF($E$5:$E$30,$E38,J$5:J$30)</f>
        <v>#DIV/0!</v>
      </c>
      <c r="K38" s="107"/>
      <c r="L38" s="107"/>
      <c r="M38" s="107" t="e">
        <f>AVERAGEIF($E$5:$E$30,$E38,M$5:M$30)</f>
        <v>#DIV/0!</v>
      </c>
      <c r="N38" s="107" t="e">
        <f>AVERAGEIF($E$5:$E$30,$E38,N$5:N$30)</f>
        <v>#DIV/0!</v>
      </c>
      <c r="O38" s="107" t="e">
        <f>AVERAGEIF($E$5:$E$30,$E38,O$5:O$30)</f>
        <v>#DIV/0!</v>
      </c>
      <c r="P38" s="107" t="e">
        <f>AVERAGEIF($E$5:$E$30,$E38,P$5:P$30)</f>
        <v>#DIV/0!</v>
      </c>
      <c r="Q38" s="107" t="e">
        <f>AVERAGEIF($E$5:$E$30,$E38,Q$5:Q$30)</f>
        <v>#DIV/0!</v>
      </c>
      <c r="R38" s="107" t="e">
        <f>AVERAGEIF($E$5:$E$30,$E38,R$5:R$30)</f>
        <v>#DIV/0!</v>
      </c>
      <c r="S38" s="244"/>
      <c r="T38" s="244" t="e">
        <f>AVERAGEIF($E$5:$E$30,$E38,T$5:T$30)</f>
        <v>#DIV/0!</v>
      </c>
      <c r="U38" s="107" t="e">
        <f>AVERAGEIF($E$5:$E$30,$E38,U$5:U$30)</f>
        <v>#DIV/0!</v>
      </c>
      <c r="V38" s="72" t="s">
        <v>9</v>
      </c>
      <c r="W38" s="78" t="e">
        <f>AVERAGEIF($E$5:$E$30,$E38,W$5:W$30)</f>
        <v>#DIV/0!</v>
      </c>
      <c r="X38" s="78" t="e">
        <f>AVERAGEIF($E$5:$E$30,$E38,X$5:X$30)</f>
        <v>#DIV/0!</v>
      </c>
      <c r="Y38" s="78" t="e">
        <f>AVERAGEIF($E$5:$E$30,$E38,Y$5:Y$30)</f>
        <v>#DIV/0!</v>
      </c>
      <c r="Z38" s="78" t="e">
        <f>AVERAGEIF($E$5:$E$30,$E38,Z$5:Z$30)</f>
        <v>#DIV/0!</v>
      </c>
      <c r="AA38" s="78" t="e">
        <f>AVERAGEIF($E$5:$E$30,$E38,AA$5:AA$30)</f>
        <v>#DIV/0!</v>
      </c>
      <c r="AB38" s="78" t="e">
        <f>AVERAGEIF($E$5:$E$30,$E38,AB$5:AB$30)</f>
        <v>#DIV/0!</v>
      </c>
      <c r="AC38" s="78" t="e">
        <f>AVERAGEIF($E$5:$E$30,$E38,AC$5:AC$30)</f>
        <v>#DIV/0!</v>
      </c>
      <c r="AD38" s="78" t="e">
        <f>AVERAGEIF($E$5:$E$30,$E38,AD$5:AD$30)</f>
        <v>#DIV/0!</v>
      </c>
      <c r="AE38" s="78" t="e">
        <f>AVERAGEIF($E$5:$E$30,$E38,AE$5:AE$30)</f>
        <v>#DIV/0!</v>
      </c>
      <c r="AF38" s="78" t="e">
        <f>AVERAGEIF($E$5:$E$30,$E38,AF$5:AF$30)</f>
        <v>#DIV/0!</v>
      </c>
      <c r="AG38" s="78" t="e">
        <f>AVERAGEIF($E$5:$E$30,$E38,AG$5:AG$30)</f>
        <v>#DIV/0!</v>
      </c>
      <c r="AH38" s="78" t="e">
        <f>AVERAGEIF($E$5:$E$30,$E38,AH$5:AH$30)</f>
        <v>#DIV/0!</v>
      </c>
      <c r="AI38" s="78" t="e">
        <f>AVERAGEIF($E$5:$E$30,$E38,AI$5:AI$30)</f>
        <v>#DIV/0!</v>
      </c>
      <c r="AJ38" s="78" t="e">
        <f>AVERAGEIF($E$5:$E$30,$E38,AJ$5:AJ$30)</f>
        <v>#DIV/0!</v>
      </c>
      <c r="AK38" s="78" t="e">
        <f>AVERAGEIF($E$5:$E$30,$E38,AK$5:AK$30)</f>
        <v>#DIV/0!</v>
      </c>
      <c r="AL38" s="78" t="e">
        <f>AVERAGEIF($E$5:$E$30,$E38,AL$5:AL$30)</f>
        <v>#DIV/0!</v>
      </c>
      <c r="AM38" s="78" t="e">
        <f>AVERAGEIF($E$5:$E$30,$E38,AM$5:AM$30)</f>
        <v>#DIV/0!</v>
      </c>
      <c r="AN38" s="78" t="e">
        <f>AVERAGEIF($E$5:$E$30,$E38,AN$5:AN$30)</f>
        <v>#DIV/0!</v>
      </c>
      <c r="AO38" s="78" t="e">
        <f>AVERAGEIF($E$5:$E$30,$E38,AO$5:AO$30)</f>
        <v>#DIV/0!</v>
      </c>
      <c r="AP38" s="78" t="e">
        <f>AVERAGEIF($E$5:$E$30,$E38,AP$5:AP$30)</f>
        <v>#DIV/0!</v>
      </c>
      <c r="AQ38" s="78" t="e">
        <f>AVERAGEIF($E$5:$E$30,$E38,AQ$5:AQ$30)</f>
        <v>#DIV/0!</v>
      </c>
      <c r="AR38" s="78" t="e">
        <f>AVERAGEIF($E$5:$E$30,$E38,AR$5:AR$30)</f>
        <v>#DIV/0!</v>
      </c>
      <c r="AS38" s="78" t="e">
        <f>AVERAGEIF($E$5:$E$30,$E38,AS$5:AS$30)</f>
        <v>#DIV/0!</v>
      </c>
      <c r="AT38" s="78" t="e">
        <f>AVERAGEIF($E$5:$E$30,$E38,AT$5:AT$30)</f>
        <v>#DIV/0!</v>
      </c>
      <c r="AU38" s="78" t="e">
        <f>AVERAGEIF($E$5:$E$30,$E38,AU$5:AU$30)</f>
        <v>#DIV/0!</v>
      </c>
      <c r="AV38" s="78" t="e">
        <f>AVERAGEIF($E$5:$E$30,$E38,AV$5:AV$30)</f>
        <v>#DIV/0!</v>
      </c>
      <c r="AW38" s="78" t="e">
        <f>AVERAGEIF($E$5:$E$30,$E38,AW$5:AW$30)</f>
        <v>#DIV/0!</v>
      </c>
      <c r="AX38" s="78" t="e">
        <f>AVERAGEIF($E$5:$E$30,$E38,AX$5:AX$30)</f>
        <v>#DIV/0!</v>
      </c>
      <c r="AY38" s="78" t="e">
        <f>AVERAGEIF($E$5:$E$30,$E38,AY$5:AY$30)</f>
        <v>#DIV/0!</v>
      </c>
      <c r="AZ38" s="78" t="e">
        <f>AVERAGEIF($E$5:$E$30,$E38,AZ$5:AZ$30)</f>
        <v>#DIV/0!</v>
      </c>
      <c r="BA38" s="78" t="e">
        <f>AVERAGEIF($E$5:$E$30,$E38,BA$5:BA$30)</f>
        <v>#DIV/0!</v>
      </c>
      <c r="BB38" s="78" t="e">
        <f>AVERAGEIF($E$5:$E$30,$E38,BB$5:BB$30)</f>
        <v>#DIV/0!</v>
      </c>
      <c r="BC38" s="78" t="e">
        <f>AVERAGEIF($E$5:$E$30,$E38,BC$5:BC$30)</f>
        <v>#DIV/0!</v>
      </c>
      <c r="BD38" s="78" t="e">
        <f>AVERAGEIF($E$5:$E$30,$E38,BD$5:BD$30)</f>
        <v>#DIV/0!</v>
      </c>
      <c r="BE38" s="78" t="e">
        <f>AVERAGEIF($E$5:$E$30,$E38,BE$5:BE$30)</f>
        <v>#DIV/0!</v>
      </c>
      <c r="BF38" s="78" t="e">
        <f>AVERAGEIF($E$5:$E$30,$E38,BF$5:BF$30)</f>
        <v>#DIV/0!</v>
      </c>
      <c r="BG38" s="78" t="e">
        <f>AVERAGEIF($E$5:$E$30,$E38,BG$5:BG$30)</f>
        <v>#DIV/0!</v>
      </c>
      <c r="BH38" s="78" t="e">
        <f>AVERAGEIF($E$5:$E$30,$E38,BH$5:BH$30)</f>
        <v>#DIV/0!</v>
      </c>
      <c r="BI38" s="78" t="e">
        <f>AVERAGEIF($E$5:$E$30,$E38,BI$5:BI$30)</f>
        <v>#DIV/0!</v>
      </c>
      <c r="BJ38" s="78" t="e">
        <f>AVERAGEIF($E$5:$E$30,$E38,BJ$5:BJ$30)</f>
        <v>#DIV/0!</v>
      </c>
      <c r="BK38" s="78" t="e">
        <f>AVERAGEIF($E$5:$E$30,$E38,BK$5:BK$30)</f>
        <v>#DIV/0!</v>
      </c>
      <c r="BL38" s="78" t="e">
        <f>AVERAGEIF($E$5:$E$30,$E38,BL$5:BL$30)</f>
        <v>#DIV/0!</v>
      </c>
      <c r="BM38" s="78" t="e">
        <f>AVERAGEIF($E$5:$E$30,$E38,BM$5:BM$30)</f>
        <v>#DIV/0!</v>
      </c>
      <c r="BN38" s="78" t="e">
        <f>AVERAGEIF($E$5:$E$30,$E38,BN$5:BN$30)</f>
        <v>#DIV/0!</v>
      </c>
      <c r="BO38" s="78" t="e">
        <f>AVERAGEIF($E$5:$E$30,$E38,BO$5:BO$30)</f>
        <v>#DIV/0!</v>
      </c>
      <c r="BP38" s="78" t="e">
        <f>AVERAGEIF($E$5:$E$30,$E38,BP$5:BP$30)</f>
        <v>#DIV/0!</v>
      </c>
      <c r="BQ38" s="103" t="s">
        <v>9</v>
      </c>
      <c r="BR38" s="73" t="e">
        <f>AVERAGEIF($E$5:$E$30,$E38,BR$5:BR$30)</f>
        <v>#DIV/0!</v>
      </c>
      <c r="BS38" s="73" t="e">
        <f>AVERAGEIF($E$5:$E$30,$E38,BS$5:BS$30)</f>
        <v>#DIV/0!</v>
      </c>
      <c r="BT38" s="73" t="e">
        <f>AVERAGEIF($E$5:$E$30,$E38,BT$5:BT$30)</f>
        <v>#DIV/0!</v>
      </c>
      <c r="BU38" s="73" t="e">
        <f>AVERAGEIF($E$5:$E$30,$E38,BU$5:BU$30)</f>
        <v>#DIV/0!</v>
      </c>
      <c r="BV38" s="73" t="e">
        <f>AVERAGEIF($E$5:$E$30,$E38,BV$5:BV$30)</f>
        <v>#DIV/0!</v>
      </c>
      <c r="BW38" s="73" t="e">
        <f>AVERAGEIF($E$5:$E$30,$E38,BW$5:BW$30)</f>
        <v>#DIV/0!</v>
      </c>
      <c r="BX38" s="73" t="e">
        <f>AVERAGEIF($E$5:$E$30,$E38,BX$5:BX$30)</f>
        <v>#DIV/0!</v>
      </c>
      <c r="BY38" s="73" t="e">
        <f>AVERAGEIF($E$5:$E$30,$E38,BY$5:BY$30)</f>
        <v>#DIV/0!</v>
      </c>
      <c r="BZ38" s="73" t="e">
        <f>AVERAGEIF($E$5:$E$30,$E38,BZ$5:BZ$30)</f>
        <v>#DIV/0!</v>
      </c>
      <c r="CA38" s="73" t="e">
        <f>AVERAGEIF($E$5:$E$30,$E38,CA$5:CA$30)</f>
        <v>#DIV/0!</v>
      </c>
      <c r="CB38" s="73" t="e">
        <f>AVERAGEIF($E$5:$E$30,$E38,CB$5:CB$30)</f>
        <v>#DIV/0!</v>
      </c>
      <c r="CC38" s="73" t="e">
        <f>AVERAGEIF($E$5:$E$30,$E38,CC$5:CC$30)</f>
        <v>#DIV/0!</v>
      </c>
      <c r="CD38" s="73" t="e">
        <f>AVERAGEIF($E$5:$E$30,$E38,CD$5:CD$30)</f>
        <v>#DIV/0!</v>
      </c>
      <c r="CE38" s="73" t="e">
        <f>AVERAGEIF($E$5:$E$30,$E38,CE$5:CE$30)</f>
        <v>#DIV/0!</v>
      </c>
      <c r="CF38" s="73" t="e">
        <f>AVERAGEIF($E$5:$E$30,$E38,CF$5:CF$30)</f>
        <v>#DIV/0!</v>
      </c>
      <c r="CG38" s="73" t="e">
        <f>AVERAGEIF($E$5:$E$30,$E38,CG$5:CG$30)</f>
        <v>#DIV/0!</v>
      </c>
      <c r="CH38" s="73" t="e">
        <f>AVERAGEIF($E$5:$E$30,$E38,CH$5:CH$30)</f>
        <v>#DIV/0!</v>
      </c>
      <c r="CI38" s="73" t="e">
        <f>AVERAGEIF($E$5:$E$30,$E38,CI$5:CI$30)</f>
        <v>#DIV/0!</v>
      </c>
      <c r="CJ38" s="73" t="e">
        <f>AVERAGEIF($E$5:$E$30,$E38,CJ$5:CJ$30)</f>
        <v>#DIV/0!</v>
      </c>
      <c r="CK38" s="73" t="e">
        <f>AVERAGEIF($E$5:$E$30,$E38,CK$5:CK$30)</f>
        <v>#DIV/0!</v>
      </c>
      <c r="CL38" s="73" t="e">
        <f>AVERAGEIF($E$5:$E$30,$E38,CL$5:CL$30)</f>
        <v>#DIV/0!</v>
      </c>
      <c r="CM38" s="73" t="e">
        <f>AVERAGEIF($E$5:$E$30,$E38,CM$5:CM$30)</f>
        <v>#DIV/0!</v>
      </c>
      <c r="CN38" s="73" t="e">
        <f>AVERAGEIF($E$5:$E$30,$E38,CN$5:CN$30)</f>
        <v>#DIV/0!</v>
      </c>
      <c r="CO38" s="73" t="e">
        <f>AVERAGEIF($E$5:$E$30,$E38,CO$5:CO$30)</f>
        <v>#DIV/0!</v>
      </c>
      <c r="CP38" s="73" t="e">
        <f>AVERAGEIF($E$5:$E$30,$E38,CP$5:CP$30)</f>
        <v>#DIV/0!</v>
      </c>
      <c r="CQ38" s="73" t="e">
        <f>AVERAGEIF($E$5:$E$30,$E38,CQ$5:CQ$30)</f>
        <v>#DIV/0!</v>
      </c>
      <c r="CR38" s="73" t="e">
        <f>AVERAGEIF($E$5:$E$30,$E38,CR$5:CR$30)</f>
        <v>#DIV/0!</v>
      </c>
      <c r="CS38" s="73" t="e">
        <f>AVERAGEIF($E$5:$E$30,$E38,CS$5:CS$30)</f>
        <v>#DIV/0!</v>
      </c>
      <c r="CT38" s="73" t="e">
        <f>AVERAGEIF($E$5:$E$30,$E38,CT$5:CT$30)</f>
        <v>#DIV/0!</v>
      </c>
      <c r="CU38" s="73" t="e">
        <f>AVERAGEIF($E$5:$E$30,$E38,CU$5:CU$30)</f>
        <v>#DIV/0!</v>
      </c>
      <c r="CV38" s="73" t="e">
        <f>AVERAGEIF($E$5:$E$30,$E38,CV$5:CV$30)</f>
        <v>#DIV/0!</v>
      </c>
      <c r="CW38" s="73" t="e">
        <f>AVERAGEIF($E$5:$E$30,$E38,CW$5:CW$30)</f>
        <v>#DIV/0!</v>
      </c>
      <c r="CX38" s="73" t="e">
        <f>AVERAGEIF($E$5:$E$30,$E38,CX$5:CX$30)</f>
        <v>#DIV/0!</v>
      </c>
      <c r="CY38" s="73" t="e">
        <f>AVERAGEIF($E$5:$E$30,$E38,CY$5:CY$30)</f>
        <v>#DIV/0!</v>
      </c>
      <c r="CZ38" s="73" t="e">
        <f>AVERAGEIF($E$5:$E$30,$E38,CZ$5:CZ$30)</f>
        <v>#DIV/0!</v>
      </c>
      <c r="DA38" s="73" t="e">
        <f>AVERAGEIF($E$5:$E$30,$E38,DA$5:DA$30)</f>
        <v>#DIV/0!</v>
      </c>
      <c r="DB38" s="73" t="e">
        <f>AVERAGEIF($E$5:$E$30,$E38,DB$5:DB$30)</f>
        <v>#DIV/0!</v>
      </c>
      <c r="DC38" s="73" t="e">
        <f>AVERAGEIF($E$5:$E$30,$E38,DC$5:DC$30)</f>
        <v>#DIV/0!</v>
      </c>
      <c r="DD38" s="73" t="e">
        <f>AVERAGEIF($E$5:$E$30,$E38,DD$5:DD$30)</f>
        <v>#DIV/0!</v>
      </c>
      <c r="DE38" s="73" t="e">
        <f>AVERAGEIF($E$5:$E$30,$E38,DE$5:DE$30)</f>
        <v>#DIV/0!</v>
      </c>
      <c r="DF38" s="73" t="e">
        <f>AVERAGEIF($E$5:$E$30,$E38,DF$5:DF$30)</f>
        <v>#DIV/0!</v>
      </c>
      <c r="DG38" s="73" t="e">
        <f>AVERAGEIF($E$5:$E$30,$E38,DG$5:DG$30)</f>
        <v>#DIV/0!</v>
      </c>
      <c r="DH38" s="73" t="e">
        <f>AVERAGEIF($E$5:$E$30,$E38,DH$5:DH$30)</f>
        <v>#DIV/0!</v>
      </c>
      <c r="DI38" s="73" t="e">
        <f>AVERAGEIF($E$5:$E$30,$E38,DI$5:DI$30)</f>
        <v>#DIV/0!</v>
      </c>
      <c r="DJ38" s="73" t="e">
        <f>AVERAGEIF($E$5:$E$30,$E38,DJ$5:DJ$30)</f>
        <v>#DIV/0!</v>
      </c>
      <c r="DK38" s="73" t="e">
        <f>AVERAGEIF($E$5:$E$30,$E38,DK$5:DK$30)</f>
        <v>#DIV/0!</v>
      </c>
      <c r="DL38" s="177" t="e">
        <f>#REF!</f>
        <v>#REF!</v>
      </c>
      <c r="DM38" s="177" t="e">
        <f>#REF!</f>
        <v>#REF!</v>
      </c>
      <c r="DN38" s="177" t="e">
        <f>#REF!</f>
        <v>#REF!</v>
      </c>
      <c r="DO38" s="177" t="e">
        <f>#REF!</f>
        <v>#REF!</v>
      </c>
      <c r="DP38" s="162" t="e">
        <f>#REF!</f>
        <v>#REF!</v>
      </c>
    </row>
    <row r="39" spans="1:120" ht="14.25" customHeight="1">
      <c r="A39" s="113"/>
      <c r="E39" s="93"/>
      <c r="I39" s="93"/>
      <c r="J39" s="107" t="e">
        <f t="array" ref="J39">_xlfn.STDEV.P(IF($E$5:$E$30=$E38,J$5:J$30))</f>
        <v>#DIV/0!</v>
      </c>
      <c r="K39" s="107"/>
      <c r="L39" s="107"/>
      <c r="M39" s="107" t="e">
        <f t="array" ref="M39">_xlfn.STDEV.P(IF($E$5:$E$30=$E38,M$5:M$30))</f>
        <v>#DIV/0!</v>
      </c>
      <c r="N39" s="107" t="e">
        <f t="array" ref="N39">_xlfn.STDEV.P(IF($E$5:$E$30=$E38,N$5:N$30))</f>
        <v>#DIV/0!</v>
      </c>
      <c r="O39" s="107" t="e">
        <f t="array" ref="O39">_xlfn.STDEV.P(IF($E$5:$E$30=$E38,O$5:O$30))</f>
        <v>#DIV/0!</v>
      </c>
      <c r="P39" s="107" t="e">
        <f t="array" ref="P39">_xlfn.STDEV.P(IF($E$5:$E$30=$E38,P$5:P$30))</f>
        <v>#DIV/0!</v>
      </c>
      <c r="Q39" s="107" t="e">
        <f t="array" ref="Q39">_xlfn.STDEV.P(IF($E$5:$E$30=$E38,Q$5:Q$30))</f>
        <v>#DIV/0!</v>
      </c>
      <c r="R39" s="107" t="e">
        <f t="array" ref="R39">_xlfn.STDEV.P(IF($E$5:$E$30=$E38,R$5:R$30))</f>
        <v>#DIV/0!</v>
      </c>
      <c r="S39" s="244"/>
      <c r="T39" s="244" t="e">
        <f t="array" ref="T39">_xlfn.STDEV.P(IF($E$5:$E$30=$E38,T$5:T$30))</f>
        <v>#DIV/0!</v>
      </c>
      <c r="U39" s="107" t="e">
        <f t="array" ref="U39">_xlfn.STDEV.P(IF($E$5:$E$30=$E38,U$5:U$30))</f>
        <v>#DIV/0!</v>
      </c>
      <c r="V39" s="72" t="s">
        <v>11</v>
      </c>
      <c r="W39" s="81" t="e">
        <f t="array" ref="W39">_xlfn.STDEV.P(IF($E$5:$E$30=$E38,W$5:W$30))</f>
        <v>#DIV/0!</v>
      </c>
      <c r="X39" s="81" t="e">
        <f t="array" ref="X39">_xlfn.STDEV.P(IF($E$5:$E$30=$E38,X$5:X$30))</f>
        <v>#DIV/0!</v>
      </c>
      <c r="Y39" s="81" t="e">
        <f t="array" ref="Y39">_xlfn.STDEV.P(IF($E$5:$E$30=$E38,Y$5:Y$30))</f>
        <v>#DIV/0!</v>
      </c>
      <c r="Z39" s="81" t="e">
        <f t="array" ref="Z39">_xlfn.STDEV.P(IF($E$5:$E$30=$E38,Z$5:Z$30))</f>
        <v>#DIV/0!</v>
      </c>
      <c r="AA39" s="81" t="e">
        <f t="array" ref="AA39">_xlfn.STDEV.P(IF($E$5:$E$30=$E38,AA$5:AA$30))</f>
        <v>#DIV/0!</v>
      </c>
      <c r="AB39" s="81" t="e">
        <f t="array" ref="AB39">_xlfn.STDEV.P(IF($E$5:$E$30=$E38,AB$5:AB$30))</f>
        <v>#DIV/0!</v>
      </c>
      <c r="AC39" s="81" t="e">
        <f t="array" ref="AC39">_xlfn.STDEV.P(IF($E$5:$E$30=$E38,AC$5:AC$30))</f>
        <v>#DIV/0!</v>
      </c>
      <c r="AD39" s="81" t="e">
        <f t="array" ref="AD39">_xlfn.STDEV.P(IF($E$5:$E$30=$E38,AD$5:AD$30))</f>
        <v>#DIV/0!</v>
      </c>
      <c r="AE39" s="81" t="e">
        <f t="array" ref="AE39">_xlfn.STDEV.P(IF($E$5:$E$30=$E38,AE$5:AE$30))</f>
        <v>#DIV/0!</v>
      </c>
      <c r="AF39" s="81" t="e">
        <f t="array" ref="AF39">_xlfn.STDEV.P(IF($E$5:$E$30=$E38,AF$5:AF$30))</f>
        <v>#DIV/0!</v>
      </c>
      <c r="AG39" s="81" t="e">
        <f t="array" ref="AG39">_xlfn.STDEV.P(IF($E$5:$E$30=$E38,AG$5:AG$30))</f>
        <v>#DIV/0!</v>
      </c>
      <c r="AH39" s="81" t="e">
        <f t="array" ref="AH39">_xlfn.STDEV.P(IF($E$5:$E$30=$E38,AH$5:AH$30))</f>
        <v>#DIV/0!</v>
      </c>
      <c r="AI39" s="81" t="e">
        <f t="array" ref="AI39">_xlfn.STDEV.P(IF($E$5:$E$30=$E38,AI$5:AI$30))</f>
        <v>#DIV/0!</v>
      </c>
      <c r="AJ39" s="81" t="e">
        <f t="array" ref="AJ39">_xlfn.STDEV.P(IF($E$5:$E$30=$E38,AJ$5:AJ$30))</f>
        <v>#DIV/0!</v>
      </c>
      <c r="AK39" s="81" t="e">
        <f t="array" ref="AK39">_xlfn.STDEV.P(IF($E$5:$E$30=$E38,AK$5:AK$30))</f>
        <v>#DIV/0!</v>
      </c>
      <c r="AL39" s="81" t="e">
        <f t="array" ref="AL39">_xlfn.STDEV.P(IF($E$5:$E$30=$E38,AL$5:AL$30))</f>
        <v>#DIV/0!</v>
      </c>
      <c r="AM39" s="81" t="e">
        <f t="array" ref="AM39">_xlfn.STDEV.P(IF($E$5:$E$30=$E38,AM$5:AM$30))</f>
        <v>#DIV/0!</v>
      </c>
      <c r="AN39" s="81" t="e">
        <f t="array" ref="AN39">_xlfn.STDEV.P(IF($E$5:$E$30=$E38,AN$5:AN$30))</f>
        <v>#DIV/0!</v>
      </c>
      <c r="AO39" s="81" t="e">
        <f t="array" ref="AO39">_xlfn.STDEV.P(IF($E$5:$E$30=$E38,AO$5:AO$30))</f>
        <v>#DIV/0!</v>
      </c>
      <c r="AP39" s="81" t="e">
        <f t="array" ref="AP39">_xlfn.STDEV.P(IF($E$5:$E$30=$E38,AP$5:AP$30))</f>
        <v>#DIV/0!</v>
      </c>
      <c r="AQ39" s="81" t="e">
        <f t="array" ref="AQ39">_xlfn.STDEV.P(IF($E$5:$E$30=$E38,AQ$5:AQ$30))</f>
        <v>#DIV/0!</v>
      </c>
      <c r="AR39" s="81" t="e">
        <f t="array" ref="AR39">_xlfn.STDEV.P(IF($E$5:$E$30=$E38,AR$5:AR$30))</f>
        <v>#DIV/0!</v>
      </c>
      <c r="AS39" s="81" t="e">
        <f t="array" ref="AS39">_xlfn.STDEV.P(IF($E$5:$E$30=$E38,AS$5:AS$30))</f>
        <v>#DIV/0!</v>
      </c>
      <c r="AT39" s="81" t="e">
        <f t="array" ref="AT39">_xlfn.STDEV.P(IF($E$5:$E$30=$E38,AT$5:AT$30))</f>
        <v>#DIV/0!</v>
      </c>
      <c r="AU39" s="81" t="e">
        <f t="array" ref="AU39">_xlfn.STDEV.P(IF($E$5:$E$30=$E38,AU$5:AU$30))</f>
        <v>#DIV/0!</v>
      </c>
      <c r="AV39" s="81" t="e">
        <f t="array" ref="AV39">_xlfn.STDEV.P(IF($E$5:$E$30=$E38,AV$5:AV$30))</f>
        <v>#DIV/0!</v>
      </c>
      <c r="AW39" s="81" t="e">
        <f t="array" ref="AW39">_xlfn.STDEV.P(IF($E$5:$E$30=$E38,AW$5:AW$30))</f>
        <v>#DIV/0!</v>
      </c>
      <c r="AX39" s="81" t="e">
        <f t="array" ref="AX39">_xlfn.STDEV.P(IF($E$5:$E$30=$E38,AX$5:AX$30))</f>
        <v>#DIV/0!</v>
      </c>
      <c r="AY39" s="81" t="e">
        <f t="array" ref="AY39">_xlfn.STDEV.P(IF($E$5:$E$30=$E38,AY$5:AY$30))</f>
        <v>#DIV/0!</v>
      </c>
      <c r="AZ39" s="81" t="e">
        <f t="array" ref="AZ39">_xlfn.STDEV.P(IF($E$5:$E$30=$E38,AZ$5:AZ$30))</f>
        <v>#DIV/0!</v>
      </c>
      <c r="BA39" s="81" t="e">
        <f t="array" ref="BA39">_xlfn.STDEV.P(IF($E$5:$E$30=$E38,BA$5:BA$30))</f>
        <v>#DIV/0!</v>
      </c>
      <c r="BB39" s="81" t="e">
        <f t="array" ref="BB39">_xlfn.STDEV.P(IF($E$5:$E$30=$E38,BB$5:BB$30))</f>
        <v>#DIV/0!</v>
      </c>
      <c r="BC39" s="81" t="e">
        <f t="array" ref="BC39">_xlfn.STDEV.P(IF($E$5:$E$30=$E38,BC$5:BC$30))</f>
        <v>#DIV/0!</v>
      </c>
      <c r="BD39" s="81" t="e">
        <f t="array" ref="BD39">_xlfn.STDEV.P(IF($E$5:$E$30=$E38,BD$5:BD$30))</f>
        <v>#DIV/0!</v>
      </c>
      <c r="BE39" s="81" t="e">
        <f t="array" ref="BE39">_xlfn.STDEV.P(IF($E$5:$E$30=$E38,BE$5:BE$30))</f>
        <v>#DIV/0!</v>
      </c>
      <c r="BF39" s="81" t="e">
        <f t="array" ref="BF39">_xlfn.STDEV.P(IF($E$5:$E$30=$E38,BF$5:BF$30))</f>
        <v>#DIV/0!</v>
      </c>
      <c r="BG39" s="81" t="e">
        <f t="array" ref="BG39">_xlfn.STDEV.P(IF($E$5:$E$30=$E38,BG$5:BG$30))</f>
        <v>#DIV/0!</v>
      </c>
      <c r="BH39" s="81" t="e">
        <f t="array" ref="BH39">_xlfn.STDEV.P(IF($E$5:$E$30=$E38,BH$5:BH$30))</f>
        <v>#DIV/0!</v>
      </c>
      <c r="BI39" s="81" t="e">
        <f t="array" ref="BI39">_xlfn.STDEV.P(IF($E$5:$E$30=$E38,BI$5:BI$30))</f>
        <v>#DIV/0!</v>
      </c>
      <c r="BJ39" s="81" t="e">
        <f t="array" ref="BJ39">_xlfn.STDEV.P(IF($E$5:$E$30=$E38,BJ$5:BJ$30))</f>
        <v>#DIV/0!</v>
      </c>
      <c r="BK39" s="81" t="e">
        <f t="array" ref="BK39">_xlfn.STDEV.P(IF($E$5:$E$30=$E38,BK$5:BK$30))</f>
        <v>#DIV/0!</v>
      </c>
      <c r="BL39" s="81" t="e">
        <f t="array" ref="BL39">_xlfn.STDEV.P(IF($E$5:$E$30=$E38,BL$5:BL$30))</f>
        <v>#DIV/0!</v>
      </c>
      <c r="BM39" s="81" t="e">
        <f t="array" ref="BM39">_xlfn.STDEV.P(IF($E$5:$E$30=$E38,BM$5:BM$30))</f>
        <v>#DIV/0!</v>
      </c>
      <c r="BN39" s="81" t="e">
        <f t="array" ref="BN39">_xlfn.STDEV.P(IF($E$5:$E$30=$E38,BN$5:BN$30))</f>
        <v>#DIV/0!</v>
      </c>
      <c r="BO39" s="81" t="e">
        <f t="array" ref="BO39">_xlfn.STDEV.P(IF($E$5:$E$30=$E38,BO$5:BO$30))</f>
        <v>#DIV/0!</v>
      </c>
      <c r="BP39" s="81" t="e">
        <f t="array" ref="BP39">_xlfn.STDEV.P(IF($E$5:$E$30=$E38,BP$5:BP$30))</f>
        <v>#DIV/0!</v>
      </c>
      <c r="BQ39" s="104" t="s">
        <v>11</v>
      </c>
      <c r="BR39" s="74" t="e">
        <f t="array" ref="BR39">_xlfn.STDEV.P(IF($E$5:$E$30=$E38,BR$5:BR$30))</f>
        <v>#DIV/0!</v>
      </c>
      <c r="BS39" s="74" t="e">
        <f t="array" ref="BS39">_xlfn.STDEV.P(IF($E$5:$E$30=$E38,BS$5:BS$30))</f>
        <v>#DIV/0!</v>
      </c>
      <c r="BT39" s="74" t="e">
        <f t="array" ref="BT39">_xlfn.STDEV.P(IF($E$5:$E$30=$E38,BT$5:BT$30))</f>
        <v>#DIV/0!</v>
      </c>
      <c r="BU39" s="74" t="e">
        <f t="array" ref="BU39">_xlfn.STDEV.P(IF($E$5:$E$30=$E38,BU$5:BU$30))</f>
        <v>#DIV/0!</v>
      </c>
      <c r="BV39" s="74" t="e">
        <f t="array" ref="BV39">_xlfn.STDEV.P(IF($E$5:$E$30=$E38,BV$5:BV$30))</f>
        <v>#DIV/0!</v>
      </c>
      <c r="BW39" s="74" t="e">
        <f t="array" ref="BW39">_xlfn.STDEV.P(IF($E$5:$E$30=$E38,BW$5:BW$30))</f>
        <v>#DIV/0!</v>
      </c>
      <c r="BX39" s="74" t="e">
        <f t="array" ref="BX39">_xlfn.STDEV.P(IF($E$5:$E$30=$E38,BX$5:BX$30))</f>
        <v>#DIV/0!</v>
      </c>
      <c r="BY39" s="74" t="e">
        <f t="array" ref="BY39">_xlfn.STDEV.P(IF($E$5:$E$30=$E38,BY$5:BY$30))</f>
        <v>#DIV/0!</v>
      </c>
      <c r="BZ39" s="74" t="e">
        <f t="array" ref="BZ39">_xlfn.STDEV.P(IF($E$5:$E$30=$E38,BZ$5:BZ$30))</f>
        <v>#DIV/0!</v>
      </c>
      <c r="CA39" s="74" t="e">
        <f t="array" ref="CA39">_xlfn.STDEV.P(IF($E$5:$E$30=$E38,CA$5:CA$30))</f>
        <v>#DIV/0!</v>
      </c>
      <c r="CB39" s="74" t="e">
        <f t="array" ref="CB39">_xlfn.STDEV.P(IF($E$5:$E$30=$E38,CB$5:CB$30))</f>
        <v>#DIV/0!</v>
      </c>
      <c r="CC39" s="74" t="e">
        <f t="array" ref="CC39">_xlfn.STDEV.P(IF($E$5:$E$30=$E38,CC$5:CC$30))</f>
        <v>#DIV/0!</v>
      </c>
      <c r="CD39" s="74" t="e">
        <f t="array" ref="CD39">_xlfn.STDEV.P(IF($E$5:$E$30=$E38,CD$5:CD$30))</f>
        <v>#DIV/0!</v>
      </c>
      <c r="CE39" s="74" t="e">
        <f t="array" ref="CE39">_xlfn.STDEV.P(IF($E$5:$E$30=$E38,CE$5:CE$30))</f>
        <v>#DIV/0!</v>
      </c>
      <c r="CF39" s="74" t="e">
        <f t="array" ref="CF39">_xlfn.STDEV.P(IF($E$5:$E$30=$E38,CF$5:CF$30))</f>
        <v>#DIV/0!</v>
      </c>
      <c r="CG39" s="74" t="e">
        <f t="array" ref="CG39">_xlfn.STDEV.P(IF($E$5:$E$30=$E38,CG$5:CG$30))</f>
        <v>#DIV/0!</v>
      </c>
      <c r="CH39" s="74" t="e">
        <f t="array" ref="CH39">_xlfn.STDEV.P(IF($E$5:$E$30=$E38,CH$5:CH$30))</f>
        <v>#DIV/0!</v>
      </c>
      <c r="CI39" s="74" t="e">
        <f t="array" ref="CI39">_xlfn.STDEV.P(IF($E$5:$E$30=$E38,CI$5:CI$30))</f>
        <v>#DIV/0!</v>
      </c>
      <c r="CJ39" s="74" t="e">
        <f t="array" ref="CJ39">_xlfn.STDEV.P(IF($E$5:$E$30=$E38,CJ$5:CJ$30))</f>
        <v>#DIV/0!</v>
      </c>
      <c r="CK39" s="74" t="e">
        <f t="array" ref="CK39">_xlfn.STDEV.P(IF($E$5:$E$30=$E38,CK$5:CK$30))</f>
        <v>#DIV/0!</v>
      </c>
      <c r="CL39" s="74" t="e">
        <f t="array" ref="CL39">_xlfn.STDEV.P(IF($E$5:$E$30=$E38,CL$5:CL$30))</f>
        <v>#DIV/0!</v>
      </c>
      <c r="CM39" s="74" t="e">
        <f t="array" ref="CM39">_xlfn.STDEV.P(IF($E$5:$E$30=$E38,CM$5:CM$30))</f>
        <v>#DIV/0!</v>
      </c>
      <c r="CN39" s="74" t="e">
        <f t="array" ref="CN39">_xlfn.STDEV.P(IF($E$5:$E$30=$E38,CN$5:CN$30))</f>
        <v>#DIV/0!</v>
      </c>
      <c r="CO39" s="74" t="e">
        <f t="array" ref="CO39">_xlfn.STDEV.P(IF($E$5:$E$30=$E38,CO$5:CO$30))</f>
        <v>#DIV/0!</v>
      </c>
      <c r="CP39" s="74" t="e">
        <f t="array" ref="CP39">_xlfn.STDEV.P(IF($E$5:$E$30=$E38,CP$5:CP$30))</f>
        <v>#DIV/0!</v>
      </c>
      <c r="CQ39" s="74" t="e">
        <f t="array" ref="CQ39">_xlfn.STDEV.P(IF($E$5:$E$30=$E38,CQ$5:CQ$30))</f>
        <v>#DIV/0!</v>
      </c>
      <c r="CR39" s="74" t="e">
        <f t="array" ref="CR39">_xlfn.STDEV.P(IF($E$5:$E$30=$E38,CR$5:CR$30))</f>
        <v>#DIV/0!</v>
      </c>
      <c r="CS39" s="74" t="e">
        <f t="array" ref="CS39">_xlfn.STDEV.P(IF($E$5:$E$30=$E38,CS$5:CS$30))</f>
        <v>#DIV/0!</v>
      </c>
      <c r="CT39" s="74" t="e">
        <f t="array" ref="CT39">_xlfn.STDEV.P(IF($E$5:$E$30=$E38,CT$5:CT$30))</f>
        <v>#DIV/0!</v>
      </c>
      <c r="CU39" s="74" t="e">
        <f t="array" ref="CU39">_xlfn.STDEV.P(IF($E$5:$E$30=$E38,CU$5:CU$30))</f>
        <v>#DIV/0!</v>
      </c>
      <c r="CV39" s="74" t="e">
        <f t="array" ref="CV39">_xlfn.STDEV.P(IF($E$5:$E$30=$E38,CV$5:CV$30))</f>
        <v>#DIV/0!</v>
      </c>
      <c r="CW39" s="74" t="e">
        <f t="array" ref="CW39">_xlfn.STDEV.P(IF($E$5:$E$30=$E38,CW$5:CW$30))</f>
        <v>#DIV/0!</v>
      </c>
      <c r="CX39" s="74" t="e">
        <f t="array" ref="CX39">_xlfn.STDEV.P(IF($E$5:$E$30=$E38,CX$5:CX$30))</f>
        <v>#DIV/0!</v>
      </c>
      <c r="CY39" s="74" t="e">
        <f t="array" ref="CY39">_xlfn.STDEV.P(IF($E$5:$E$30=$E38,CY$5:CY$30))</f>
        <v>#DIV/0!</v>
      </c>
      <c r="CZ39" s="74" t="e">
        <f t="array" ref="CZ39">_xlfn.STDEV.P(IF($E$5:$E$30=$E38,CZ$5:CZ$30))</f>
        <v>#DIV/0!</v>
      </c>
      <c r="DA39" s="74" t="e">
        <f t="array" ref="DA39">_xlfn.STDEV.P(IF($E$5:$E$30=$E38,DA$5:DA$30))</f>
        <v>#DIV/0!</v>
      </c>
      <c r="DB39" s="74" t="e">
        <f t="array" ref="DB39">_xlfn.STDEV.P(IF($E$5:$E$30=$E38,DB$5:DB$30))</f>
        <v>#DIV/0!</v>
      </c>
      <c r="DC39" s="74" t="e">
        <f t="array" ref="DC39">_xlfn.STDEV.P(IF($E$5:$E$30=$E38,DC$5:DC$30))</f>
        <v>#DIV/0!</v>
      </c>
      <c r="DD39" s="74" t="e">
        <f t="array" ref="DD39">_xlfn.STDEV.P(IF($E$5:$E$30=$E38,DD$5:DD$30))</f>
        <v>#DIV/0!</v>
      </c>
      <c r="DE39" s="74" t="e">
        <f t="array" ref="DE39">_xlfn.STDEV.P(IF($E$5:$E$30=$E38,DE$5:DE$30))</f>
        <v>#DIV/0!</v>
      </c>
      <c r="DF39" s="74" t="e">
        <f t="array" ref="DF39">_xlfn.STDEV.P(IF($E$5:$E$30=$E38,DF$5:DF$30))</f>
        <v>#DIV/0!</v>
      </c>
      <c r="DG39" s="74" t="e">
        <f t="array" ref="DG39">_xlfn.STDEV.P(IF($E$5:$E$30=$E38,DG$5:DG$30))</f>
        <v>#DIV/0!</v>
      </c>
      <c r="DH39" s="74" t="e">
        <f t="array" ref="DH39">_xlfn.STDEV.P(IF($E$5:$E$30=$E38,DH$5:DH$30))</f>
        <v>#DIV/0!</v>
      </c>
      <c r="DI39" s="74" t="e">
        <f t="array" ref="DI39">_xlfn.STDEV.P(IF($E$5:$E$30=$E38,DI$5:DI$30))</f>
        <v>#DIV/0!</v>
      </c>
      <c r="DJ39" s="74" t="e">
        <f t="array" ref="DJ39">_xlfn.STDEV.P(IF($E$5:$E$30=$E38,DJ$5:DJ$30))</f>
        <v>#DIV/0!</v>
      </c>
      <c r="DK39" s="74" t="e">
        <f t="array" ref="DK39">_xlfn.STDEV.P(IF($E$5:$E$30=$E38,DK$5:DK$30))</f>
        <v>#DIV/0!</v>
      </c>
      <c r="DL39" s="177" t="e">
        <f>#REF!</f>
        <v>#REF!</v>
      </c>
      <c r="DM39" s="177" t="e">
        <f>#REF!</f>
        <v>#REF!</v>
      </c>
      <c r="DN39" s="177" t="e">
        <f>#REF!</f>
        <v>#REF!</v>
      </c>
      <c r="DO39" s="177" t="e">
        <f>#REF!</f>
        <v>#REF!</v>
      </c>
      <c r="DP39" s="162" t="e">
        <f>#REF!</f>
        <v>#REF!</v>
      </c>
    </row>
    <row r="40" spans="1:120" ht="15">
      <c r="A40" s="113"/>
      <c r="E40" s="52"/>
      <c r="I40" s="52"/>
      <c r="K40" s="57"/>
      <c r="L40" s="57"/>
      <c r="P40" s="57"/>
      <c r="Q40" s="57"/>
      <c r="R40" s="57"/>
      <c r="S40" s="243"/>
      <c r="T40" s="243"/>
      <c r="U40" s="57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DF40" s="44"/>
      <c r="DG40" s="44"/>
      <c r="DH40" s="44"/>
      <c r="DI40" s="44"/>
      <c r="DJ40" s="44"/>
      <c r="DK40" s="44"/>
      <c r="DL40" s="177"/>
      <c r="DM40" s="177"/>
      <c r="DN40" s="177"/>
      <c r="DO40" s="177"/>
    </row>
    <row r="41" spans="1:120" ht="14.25" customHeight="1">
      <c r="A41" s="113"/>
      <c r="E41" s="118" t="str">
        <f>'FIG6 Groups'!C8</f>
        <v>MIA PaCa-2 - Control</v>
      </c>
      <c r="I41" s="118" t="str">
        <f>E41</f>
        <v>MIA PaCa-2 - Control</v>
      </c>
      <c r="J41" s="107">
        <f>AVERAGEIF($E$5:$E$30,$E41,J$5:J$30)</f>
        <v>28.933333333333326</v>
      </c>
      <c r="K41" s="107"/>
      <c r="L41" s="107"/>
      <c r="M41" s="107">
        <f>AVERAGEIF($E$5:$E$30,$E41,M$5:M$30)</f>
        <v>134.8672</v>
      </c>
      <c r="N41" s="107">
        <f>AVERAGEIF($E$5:$E$30,$E41,N$5:N$30)</f>
        <v>1348.6720000000003</v>
      </c>
      <c r="O41" s="107">
        <f>AVERAGEIF($E$5:$E$30,$E41,O$5:O$30)</f>
        <v>44.955733333333335</v>
      </c>
      <c r="P41" s="107">
        <f>AVERAGEIF($E$5:$E$30,$E41,P$5:P$30)</f>
        <v>0</v>
      </c>
      <c r="Q41" s="107">
        <f>AVERAGEIF($E$5:$E$30,$E41,Q$5:Q$30)</f>
        <v>0</v>
      </c>
      <c r="R41" s="107">
        <f>AVERAGEIF($E$5:$E$30,$E41,R$5:R$30)</f>
        <v>0</v>
      </c>
      <c r="S41" s="244"/>
      <c r="T41" s="244" t="e">
        <f>AVERAGEIF($E$5:$E$30,$E41,T$5:T$30)</f>
        <v>#DIV/0!</v>
      </c>
      <c r="U41" s="107" t="e">
        <f>AVERAGEIF($E$5:$E$30,$E41,U$5:U$30)</f>
        <v>#DIV/0!</v>
      </c>
      <c r="V41" s="72" t="s">
        <v>9</v>
      </c>
      <c r="W41" s="78">
        <f>AVERAGEIF($E$5:$E$30,$E41,W$5:W$30)</f>
        <v>79.099626666666666</v>
      </c>
      <c r="X41" s="78">
        <f>AVERAGEIF($E$5:$E$30,$E41,X$5:X$30)</f>
        <v>96.2</v>
      </c>
      <c r="Y41" s="78">
        <f>AVERAGEIF($E$5:$E$30,$E41,Y$5:Y$30)</f>
        <v>134.8672</v>
      </c>
      <c r="Z41" s="78">
        <f>AVERAGEIF($E$5:$E$30,$E41,Z$5:Z$30)</f>
        <v>171.82723999999999</v>
      </c>
      <c r="AA41" s="78">
        <f>AVERAGEIF($E$5:$E$30,$E41,AA$5:AA$30)</f>
        <v>161.44335999999998</v>
      </c>
      <c r="AB41" s="78">
        <f>AVERAGEIF($E$5:$E$30,$E41,AB$5:AB$30)</f>
        <v>163.02433333333335</v>
      </c>
      <c r="AC41" s="78">
        <f>AVERAGEIF($E$5:$E$30,$E41,AC$5:AC$30)</f>
        <v>200.84011999999998</v>
      </c>
      <c r="AD41" s="78">
        <f>AVERAGEIF($E$5:$E$30,$E41,AD$5:AD$30)</f>
        <v>231.73219333333336</v>
      </c>
      <c r="AE41" s="78">
        <f>AVERAGEIF($E$5:$E$30,$E41,AE$5:AE$30)</f>
        <v>262.1300066666667</v>
      </c>
      <c r="AF41" s="78">
        <f>AVERAGEIF($E$5:$E$30,$E41,AF$5:AF$30)</f>
        <v>365.99541333333332</v>
      </c>
      <c r="AG41" s="78">
        <f>AVERAGEIF($E$5:$E$30,$E41,AG$5:AG$30)</f>
        <v>494.44945333333322</v>
      </c>
      <c r="AH41" s="78">
        <f>AVERAGEIF($E$5:$E$30,$E41,AH$5:AH$30)</f>
        <v>635.40264666666656</v>
      </c>
      <c r="AI41" s="78">
        <f>AVERAGEIF($E$5:$E$30,$E41,AI$5:AI$30)</f>
        <v>843.65398000000005</v>
      </c>
      <c r="AJ41" s="78">
        <f>AVERAGEIF($E$5:$E$30,$E41,AJ$5:AJ$30)</f>
        <v>988.01516666666669</v>
      </c>
      <c r="AK41" s="78">
        <f>AVERAGEIF($E$5:$E$30,$E41,AK$5:AK$30)</f>
        <v>820.00131199999998</v>
      </c>
      <c r="AL41" s="78">
        <f>AVERAGEIF($E$5:$E$30,$E41,AL$5:AL$30)</f>
        <v>1385.094568</v>
      </c>
      <c r="AM41" s="78">
        <f>AVERAGEIF($E$5:$E$30,$E41,AM$5:AM$30)</f>
        <v>1347.6881599999999</v>
      </c>
      <c r="AN41" s="78">
        <f>AVERAGEIF($E$5:$E$30,$E41,AN$5:AN$30)</f>
        <v>1621.8467200000002</v>
      </c>
      <c r="AO41" s="78">
        <f>AVERAGEIF($E$5:$E$30,$E41,AO$5:AO$30)</f>
        <v>675.42384000000004</v>
      </c>
      <c r="AP41" s="78">
        <f>AVERAGEIF($E$5:$E$30,$E41,AP$5:AP$30)</f>
        <v>555.48948000000007</v>
      </c>
      <c r="AQ41" s="78">
        <f>AVERAGEIF($E$5:$E$30,$E41,AQ$5:AQ$30)</f>
        <v>475.17184000000015</v>
      </c>
      <c r="AR41" s="78">
        <f>AVERAGEIF($E$5:$E$30,$E41,AR$5:AR$30)</f>
        <v>409.0881599999999</v>
      </c>
      <c r="AS41" s="78">
        <f>AVERAGEIF($E$5:$E$30,$E41,AS$5:AS$30)</f>
        <v>317.55724000000004</v>
      </c>
      <c r="AT41" s="78">
        <f>AVERAGEIF($E$5:$E$30,$E41,AT$5:AT$30)</f>
        <v>65.38064</v>
      </c>
      <c r="AU41" s="78">
        <f>AVERAGEIF($E$5:$E$30,$E41,AU$5:AU$30)</f>
        <v>67.450240000000008</v>
      </c>
      <c r="AV41" s="78">
        <f>AVERAGEIF($E$5:$E$30,$E41,AV$5:AV$30)</f>
        <v>131.46119999999999</v>
      </c>
      <c r="AW41" s="78">
        <f>AVERAGEIF($E$5:$E$30,$E41,AW$5:AW$30)</f>
        <v>70.188039999999987</v>
      </c>
      <c r="AX41" s="78">
        <f>AVERAGEIF($E$5:$E$30,$E41,AX$5:AX$30)</f>
        <v>121.12100000000001</v>
      </c>
      <c r="AY41" s="78">
        <f>AVERAGEIF($E$5:$E$30,$E41,AY$5:AY$30)</f>
        <v>138.27996000000002</v>
      </c>
      <c r="AZ41" s="78">
        <f>AVERAGEIF($E$5:$E$30,$E41,AZ$5:AZ$30)</f>
        <v>179.55755999999997</v>
      </c>
      <c r="BA41" s="78">
        <f>AVERAGEIF($E$5:$E$30,$E41,BA$5:BA$30)</f>
        <v>138.53736000000001</v>
      </c>
      <c r="BB41" s="78">
        <f>AVERAGEIF($E$5:$E$30,$E41,BB$5:BB$30)</f>
        <v>150.43807999999999</v>
      </c>
      <c r="BC41" s="78">
        <f>AVERAGEIF($E$5:$E$30,$E41,BC$5:BC$30)</f>
        <v>191.35636</v>
      </c>
      <c r="BD41" s="78">
        <f>AVERAGEIF($E$5:$E$30,$E41,BD$5:BD$30)</f>
        <v>248.00256000000002</v>
      </c>
      <c r="BE41" s="78">
        <f>AVERAGEIF($E$5:$E$30,$E41,BE$5:BE$30)</f>
        <v>171.30204000000001</v>
      </c>
      <c r="BF41" s="78">
        <f>AVERAGEIF($E$5:$E$30,$E41,BF$5:BF$30)</f>
        <v>150.43807999999999</v>
      </c>
      <c r="BG41" s="78">
        <f>AVERAGEIF($E$5:$E$30,$E41,BG$5:BG$30)</f>
        <v>148.42984000000001</v>
      </c>
      <c r="BH41" s="78">
        <f>AVERAGEIF($E$5:$E$30,$E41,BH$5:BH$30)</f>
        <v>164.00384000000003</v>
      </c>
      <c r="BI41" s="78">
        <f>AVERAGEIF($E$5:$E$30,$E41,BI$5:BI$30)</f>
        <v>127.95328000000002</v>
      </c>
      <c r="BJ41" s="78">
        <f>AVERAGEIF($E$5:$E$30,$E41,BJ$5:BJ$30)</f>
        <v>100.08647999999999</v>
      </c>
      <c r="BK41" s="78">
        <f>AVERAGEIF($E$5:$E$30,$E41,BK$5:BK$30)</f>
        <v>172.22399999999999</v>
      </c>
      <c r="BL41" s="78">
        <f>AVERAGEIF($E$5:$E$30,$E41,BL$5:BL$30)</f>
        <v>164.4682</v>
      </c>
      <c r="BM41" s="78">
        <f>AVERAGEIF($E$5:$E$30,$E41,BM$5:BM$30)</f>
        <v>176.11776</v>
      </c>
      <c r="BN41" s="78">
        <f>AVERAGEIF($E$5:$E$30,$E41,BN$5:BN$30)</f>
        <v>132.17152000000002</v>
      </c>
      <c r="BO41" s="78" t="e">
        <f>AVERAGEIF($E$5:$E$30,$E41,BO$5:BO$30)</f>
        <v>#DIV/0!</v>
      </c>
      <c r="BP41" s="78" t="e">
        <f>AVERAGEIF($E$5:$E$30,$E41,BP$5:BP$30)</f>
        <v>#DIV/0!</v>
      </c>
      <c r="BQ41" s="103" t="s">
        <v>9</v>
      </c>
      <c r="BR41" s="73">
        <f>AVERAGEIF($E$5:$E$30,$E41,BR$5:BR$30)</f>
        <v>0.6012401154887197</v>
      </c>
      <c r="BS41" s="73">
        <f>AVERAGEIF($E$5:$E$30,$E41,BS$5:BS$30)</f>
        <v>0.73371035081634084</v>
      </c>
      <c r="BT41" s="73">
        <f>AVERAGEIF($E$5:$E$30,$E41,BT$5:BT$30)</f>
        <v>1</v>
      </c>
      <c r="BU41" s="73">
        <f>AVERAGEIF($E$5:$E$30,$E41,BU$5:BU$30)</f>
        <v>1.3415945990144795</v>
      </c>
      <c r="BV41" s="73">
        <f>AVERAGEIF($E$5:$E$30,$E41,BV$5:BV$30)</f>
        <v>1.2386025337662612</v>
      </c>
      <c r="BW41" s="73">
        <f>AVERAGEIF($E$5:$E$30,$E41,BW$5:BW$30)</f>
        <v>1.2365630673738657</v>
      </c>
      <c r="BX41" s="73">
        <f>AVERAGEIF($E$5:$E$30,$E41,BX$5:BX$30)</f>
        <v>1.5243557638156966</v>
      </c>
      <c r="BY41" s="73">
        <f>AVERAGEIF($E$5:$E$30,$E41,BY$5:BY$30)</f>
        <v>1.695855040562515</v>
      </c>
      <c r="BZ41" s="73">
        <f>AVERAGEIF($E$5:$E$30,$E41,BZ$5:BZ$30)</f>
        <v>1.9106477362119818</v>
      </c>
      <c r="CA41" s="73">
        <f>AVERAGEIF($E$5:$E$30,$E41,CA$5:CA$30)</f>
        <v>2.6747474979356984</v>
      </c>
      <c r="CB41" s="73">
        <f>AVERAGEIF($E$5:$E$30,$E41,CB$5:CB$30)</f>
        <v>3.5489970290358137</v>
      </c>
      <c r="CC41" s="73">
        <f>AVERAGEIF($E$5:$E$30,$E41,CC$5:CC$30)</f>
        <v>4.621674102041367</v>
      </c>
      <c r="CD41" s="73">
        <f>AVERAGEIF($E$5:$E$30,$E41,CD$5:CD$30)</f>
        <v>6.0993699890732733</v>
      </c>
      <c r="CE41" s="73">
        <f>AVERAGEIF($E$5:$E$30,$E41,CE$5:CE$30)</f>
        <v>7.2538955075524418</v>
      </c>
      <c r="CF41" s="73">
        <f>AVERAGEIF($E$5:$E$30,$E41,CF$5:CF$30)</f>
        <v>6.684200967908299</v>
      </c>
      <c r="CG41" s="73">
        <f>AVERAGEIF($E$5:$E$30,$E41,CG$5:CG$30)</f>
        <v>11.21155545436198</v>
      </c>
      <c r="CH41" s="73">
        <f>AVERAGEIF($E$5:$E$30,$E41,CH$5:CH$30)</f>
        <v>11.297814704421889</v>
      </c>
      <c r="CI41" s="73">
        <f>AVERAGEIF($E$5:$E$30,$E41,CI$5:CI$30)</f>
        <v>14.934884736031668</v>
      </c>
      <c r="CJ41" s="73">
        <f>AVERAGEIF($E$5:$E$30,$E41,CJ$5:CJ$30)</f>
        <v>5.3790584415584419</v>
      </c>
      <c r="CK41" s="73">
        <f>AVERAGEIF($E$5:$E$30,$E41,CK$5:CK$30)</f>
        <v>4.4239042207792219</v>
      </c>
      <c r="CL41" s="73">
        <f>AVERAGEIF($E$5:$E$30,$E41,CL$5:CL$30)</f>
        <v>3.784256559766765</v>
      </c>
      <c r="CM41" s="73">
        <f>AVERAGEIF($E$5:$E$30,$E41,CM$5:CM$30)</f>
        <v>3.2579677975086132</v>
      </c>
      <c r="CN41" s="73">
        <f>AVERAGEIF($E$5:$E$30,$E41,CN$5:CN$30)</f>
        <v>2.5290178571428577</v>
      </c>
      <c r="CO41" s="73">
        <f>AVERAGEIF($E$5:$E$30,$E41,CO$5:CO$30)</f>
        <v>0.52068976941425926</v>
      </c>
      <c r="CP41" s="73">
        <f>AVERAGEIF($E$5:$E$30,$E41,CP$5:CP$30)</f>
        <v>0.53717201166180761</v>
      </c>
      <c r="CQ41" s="73">
        <f>AVERAGEIF($E$5:$E$30,$E41,CQ$5:CQ$30)</f>
        <v>1.046953684071031</v>
      </c>
      <c r="CR41" s="73">
        <f>AVERAGEIF($E$5:$E$30,$E41,CR$5:CR$30)</f>
        <v>0.5589757818711899</v>
      </c>
      <c r="CS41" s="73">
        <f>AVERAGEIF($E$5:$E$30,$E41,CS$5:CS$30)</f>
        <v>0.96460459183673486</v>
      </c>
      <c r="CT41" s="73">
        <f>AVERAGEIF($E$5:$E$30,$E41,CT$5:CT$30)</f>
        <v>1.101258116883117</v>
      </c>
      <c r="CU41" s="73">
        <f>AVERAGEIF($E$5:$E$30,$E41,CU$5:CU$30)</f>
        <v>1.429991883116883</v>
      </c>
      <c r="CV41" s="73">
        <f>AVERAGEIF($E$5:$E$30,$E41,CV$5:CV$30)</f>
        <v>1.1033080439968197</v>
      </c>
      <c r="CW41" s="73">
        <f>AVERAGEIF($E$5:$E$30,$E41,CW$5:CW$30)</f>
        <v>1.1980850781871188</v>
      </c>
      <c r="CX41" s="73">
        <f>AVERAGEIF($E$5:$E$30,$E41,CX$5:CX$30)</f>
        <v>1.5239572289954944</v>
      </c>
      <c r="CY41" s="73">
        <f>AVERAGEIF($E$5:$E$30,$E41,CY$5:CY$30)</f>
        <v>1.9750861383514446</v>
      </c>
      <c r="CZ41" s="73">
        <f>AVERAGEIF($E$5:$E$30,$E41,CZ$5:CZ$30)</f>
        <v>1.3642451298701299</v>
      </c>
      <c r="DA41" s="73">
        <f>AVERAGEIF($E$5:$E$30,$E41,DA$5:DA$30)</f>
        <v>1.1980850781871188</v>
      </c>
      <c r="DB41" s="73">
        <f>AVERAGEIF($E$5:$E$30,$E41,DB$5:DB$30)</f>
        <v>1.1820915054333423</v>
      </c>
      <c r="DC41" s="73">
        <f>AVERAGEIF($E$5:$E$30,$E41,DC$5:DC$30)</f>
        <v>1.3061224489795922</v>
      </c>
      <c r="DD41" s="73">
        <f>AVERAGEIF($E$5:$E$30,$E41,DD$5:DD$30)</f>
        <v>1.0190166975881263</v>
      </c>
      <c r="DE41" s="73">
        <f>AVERAGEIF($E$5:$E$30,$E41,DE$5:DE$30)</f>
        <v>0.79708620461171475</v>
      </c>
      <c r="DF41" s="73">
        <f>AVERAGEIF($E$5:$E$30,$E41,DF$5:DF$30)</f>
        <v>1.371587596077392</v>
      </c>
      <c r="DG41" s="73">
        <f>AVERAGEIF($E$5:$E$30,$E41,DG$5:DG$30)</f>
        <v>1.3098206003180493</v>
      </c>
      <c r="DH41" s="73">
        <f>AVERAGEIF($E$5:$E$30,$E41,DH$5:DH$30)</f>
        <v>1.4025974025974026</v>
      </c>
      <c r="DI41" s="73">
        <f>AVERAGEIF($E$5:$E$30,$E41,DI$5:DI$30)</f>
        <v>1.0526106546514711</v>
      </c>
      <c r="DJ41" s="73" t="e">
        <f>AVERAGEIF($E$5:$E$30,$E41,DJ$5:DJ$30)</f>
        <v>#DIV/0!</v>
      </c>
      <c r="DK41" s="73" t="e">
        <f>AVERAGEIF($E$5:$E$30,$E41,DK$5:DK$30)</f>
        <v>#DIV/0!</v>
      </c>
      <c r="DL41" s="177" t="e">
        <f>#REF!</f>
        <v>#REF!</v>
      </c>
      <c r="DM41" s="177" t="e">
        <f>#REF!</f>
        <v>#REF!</v>
      </c>
      <c r="DN41" s="177" t="e">
        <f>#REF!</f>
        <v>#REF!</v>
      </c>
      <c r="DO41" s="177" t="e">
        <f>#REF!</f>
        <v>#REF!</v>
      </c>
      <c r="DP41" s="162" t="e">
        <f>#REF!</f>
        <v>#REF!</v>
      </c>
    </row>
    <row r="42" spans="1:120" ht="14.25" customHeight="1">
      <c r="A42" s="113"/>
      <c r="E42" s="93"/>
      <c r="I42" s="93"/>
      <c r="J42" s="107">
        <f t="array" ref="J42">_xlfn.STDEV.P(IF($E$5:$E$30=$E41,J$5:J$30))</f>
        <v>1.1040330107786129</v>
      </c>
      <c r="K42" s="107"/>
      <c r="L42" s="107"/>
      <c r="M42" s="107">
        <f t="array" ref="M42">_xlfn.STDEV.P(IF($E$5:$E$30=$E41,M$5:M$30))</f>
        <v>30.688714977237776</v>
      </c>
      <c r="N42" s="107">
        <f t="array" ref="N42">_xlfn.STDEV.P(IF($E$5:$E$30=$E41,N$5:N$30))</f>
        <v>306.88714977237601</v>
      </c>
      <c r="O42" s="107">
        <f t="array" ref="O42">_xlfn.STDEV.P(IF($E$5:$E$30=$E41,O$5:O$30))</f>
        <v>10.229571659079221</v>
      </c>
      <c r="P42" s="107">
        <f t="array" ref="P42">_xlfn.STDEV.P(IF($E$5:$E$30=$E41,P$5:P$30))</f>
        <v>0</v>
      </c>
      <c r="Q42" s="107">
        <f t="array" ref="Q42">_xlfn.STDEV.P(IF($E$5:$E$30=$E41,Q$5:Q$30))</f>
        <v>0</v>
      </c>
      <c r="R42" s="107">
        <f t="array" ref="R42">_xlfn.STDEV.P(IF($E$5:$E$30=$E41,R$5:R$30))</f>
        <v>0</v>
      </c>
      <c r="S42" s="244"/>
      <c r="T42" s="244">
        <f t="array" ref="T42">_xlfn.STDEV.P(IF($E$5:$E$30=$E41,T$5:T$30))</f>
        <v>0</v>
      </c>
      <c r="U42" s="107">
        <f t="array" ref="U42">_xlfn.STDEV.P(IF($E$5:$E$30=$E41,U$5:U$30))</f>
        <v>0</v>
      </c>
      <c r="V42" s="72" t="s">
        <v>11</v>
      </c>
      <c r="W42" s="81">
        <f t="array" ref="W42">_xlfn.STDEV.P(IF($E$5:$E$30=$E41,W$5:W$30))</f>
        <v>10.67908375100081</v>
      </c>
      <c r="X42" s="81">
        <f t="array" ref="X42">_xlfn.STDEV.P(IF($E$5:$E$30=$E41,X$5:X$30))</f>
        <v>17.538529014714985</v>
      </c>
      <c r="Y42" s="81">
        <f t="array" ref="Y42">_xlfn.STDEV.P(IF($E$5:$E$30=$E41,Y$5:Y$30))</f>
        <v>30.688714977237776</v>
      </c>
      <c r="Z42" s="81">
        <f t="array" ref="Z42">_xlfn.STDEV.P(IF($E$5:$E$30=$E41,Z$5:Z$30))</f>
        <v>22.796980931763969</v>
      </c>
      <c r="AA42" s="81">
        <f t="array" ref="AA42">_xlfn.STDEV.P(IF($E$5:$E$30=$E41,AA$5:AA$30))</f>
        <v>17.070398949933061</v>
      </c>
      <c r="AB42" s="81">
        <f t="array" ref="AB42">_xlfn.STDEV.P(IF($E$5:$E$30=$E41,AB$5:AB$30))</f>
        <v>37.920982427390875</v>
      </c>
      <c r="AC42" s="81">
        <f t="array" ref="AC42">_xlfn.STDEV.P(IF($E$5:$E$30=$E41,AC$5:AC$30))</f>
        <v>30.309532197309466</v>
      </c>
      <c r="AD42" s="81">
        <f t="array" ref="AD42">_xlfn.STDEV.P(IF($E$5:$E$30=$E41,AD$5:AD$30))</f>
        <v>81.151185780699223</v>
      </c>
      <c r="AE42" s="81">
        <f t="array" ref="AE42">_xlfn.STDEV.P(IF($E$5:$E$30=$E41,AE$5:AE$30))</f>
        <v>90.541763323491537</v>
      </c>
      <c r="AF42" s="81">
        <f t="array" ref="AF42">_xlfn.STDEV.P(IF($E$5:$E$30=$E41,AF$5:AF$30))</f>
        <v>139.45663422188611</v>
      </c>
      <c r="AG42" s="81">
        <f t="array" ref="AG42">_xlfn.STDEV.P(IF($E$5:$E$30=$E41,AG$5:AG$30))</f>
        <v>210.89873840907012</v>
      </c>
      <c r="AH42" s="81">
        <f t="array" ref="AH42">_xlfn.STDEV.P(IF($E$5:$E$30=$E41,AH$5:AH$30))</f>
        <v>258.08550408412111</v>
      </c>
      <c r="AI42" s="81">
        <f t="array" ref="AI42">_xlfn.STDEV.P(IF($E$5:$E$30=$E41,AI$5:AI$30))</f>
        <v>334.92988894939703</v>
      </c>
      <c r="AJ42" s="81">
        <f t="array" ref="AJ42">_xlfn.STDEV.P(IF($E$5:$E$30=$E41,AJ$5:AJ$30))</f>
        <v>390.56325013079561</v>
      </c>
      <c r="AK42" s="81">
        <f t="array" ref="AK42">_xlfn.STDEV.P(IF($E$5:$E$30=$E41,AK$5:AK$30))</f>
        <v>402.27610756750431</v>
      </c>
      <c r="AL42" s="81">
        <f t="array" ref="AL42">_xlfn.STDEV.P(IF($E$5:$E$30=$E41,AL$5:AL$30))</f>
        <v>809.77793139253743</v>
      </c>
      <c r="AM42" s="81">
        <f t="array" ref="AM42">_xlfn.STDEV.P(IF($E$5:$E$30=$E41,AM$5:AM$30))</f>
        <v>657.09314984964612</v>
      </c>
      <c r="AN42" s="81">
        <f t="array" ref="AN42">_xlfn.STDEV.P(IF($E$5:$E$30=$E41,AN$5:AN$30))</f>
        <v>840.71658071235902</v>
      </c>
      <c r="AO42" s="81">
        <f t="array" ref="AO42">_xlfn.STDEV.P(IF($E$5:$E$30=$E41,AO$5:AO$30))</f>
        <v>251.71560331065695</v>
      </c>
      <c r="AP42" s="81">
        <f t="array" ref="AP42">_xlfn.STDEV.P(IF($E$5:$E$30=$E41,AP$5:AP$30))</f>
        <v>207.01870634433502</v>
      </c>
      <c r="AQ42" s="81">
        <f t="array" ref="AQ42">_xlfn.STDEV.P(IF($E$5:$E$30=$E41,AQ$5:AQ$30))</f>
        <v>177.086089205609</v>
      </c>
      <c r="AR42" s="81">
        <f t="array" ref="AR42">_xlfn.STDEV.P(IF($E$5:$E$30=$E41,AR$5:AR$30))</f>
        <v>152.45815575838503</v>
      </c>
      <c r="AS42" s="81">
        <f t="array" ref="AS42">_xlfn.STDEV.P(IF($E$5:$E$30=$E41,AS$5:AS$30))</f>
        <v>118.34659589786924</v>
      </c>
      <c r="AT42" s="81">
        <f t="array" ref="AT42">_xlfn.STDEV.P(IF($E$5:$E$30=$E41,AT$5:AT$30))</f>
        <v>24.365925908740309</v>
      </c>
      <c r="AU42" s="81">
        <f t="array" ref="AU42">_xlfn.STDEV.P(IF($E$5:$E$30=$E41,AU$5:AU$30))</f>
        <v>25.137220289779236</v>
      </c>
      <c r="AV42" s="81">
        <f t="array" ref="AV42">_xlfn.STDEV.P(IF($E$5:$E$30=$E41,AV$5:AV$30))</f>
        <v>48.992696600615886</v>
      </c>
      <c r="AW42" s="81">
        <f t="array" ref="AW42">_xlfn.STDEV.P(IF($E$5:$E$30=$E41,AW$5:AW$30))</f>
        <v>26.157538107912387</v>
      </c>
      <c r="AX42" s="81">
        <f t="array" ref="AX42">_xlfn.STDEV.P(IF($E$5:$E$30=$E41,AX$5:AX$30))</f>
        <v>45.139131583792008</v>
      </c>
      <c r="AY42" s="81">
        <f t="array" ref="AY42">_xlfn.STDEV.P(IF($E$5:$E$30=$E41,AY$5:AY$30))</f>
        <v>51.533898414325307</v>
      </c>
      <c r="AZ42" s="81">
        <f t="array" ref="AZ42">_xlfn.STDEV.P(IF($E$5:$E$30=$E41,AZ$5:AZ$30))</f>
        <v>66.917151672332849</v>
      </c>
      <c r="BA42" s="81">
        <f t="array" ref="BA42">_xlfn.STDEV.P(IF($E$5:$E$30=$E41,BA$5:BA$30))</f>
        <v>51.629825730560043</v>
      </c>
      <c r="BB42" s="81">
        <f t="array" ref="BB42">_xlfn.STDEV.P(IF($E$5:$E$30=$E41,BB$5:BB$30))</f>
        <v>56.064962214091913</v>
      </c>
      <c r="BC42" s="81">
        <f t="array" ref="BC42">_xlfn.STDEV.P(IF($E$5:$E$30=$E41,BC$5:BC$30))</f>
        <v>71.314304814486945</v>
      </c>
      <c r="BD42" s="81">
        <f t="array" ref="BD42">_xlfn.STDEV.P(IF($E$5:$E$30=$E41,BD$5:BD$30))</f>
        <v>92.425097125661722</v>
      </c>
      <c r="BE42" s="81">
        <f t="array" ref="BE42">_xlfn.STDEV.P(IF($E$5:$E$30=$E41,BE$5:BE$30))</f>
        <v>63.840501020731345</v>
      </c>
      <c r="BF42" s="81">
        <f t="array" ref="BF42">_xlfn.STDEV.P(IF($E$5:$E$30=$E41,BF$5:BF$30))</f>
        <v>56.064962214091913</v>
      </c>
      <c r="BG42" s="81">
        <f t="array" ref="BG42">_xlfn.STDEV.P(IF($E$5:$E$30=$E41,BG$5:BG$30))</f>
        <v>55.316535354902896</v>
      </c>
      <c r="BH42" s="81">
        <f t="array" ref="BH42">_xlfn.STDEV.P(IF($E$5:$E$30=$E41,BH$5:BH$30))</f>
        <v>61.120622468499853</v>
      </c>
      <c r="BI42" s="81">
        <f t="array" ref="BI42">_xlfn.STDEV.P(IF($E$5:$E$30=$E41,BI$5:BI$30))</f>
        <v>47.685372004010723</v>
      </c>
      <c r="BJ42" s="81">
        <f t="array" ref="BJ42">_xlfn.STDEV.P(IF($E$5:$E$30=$E41,BJ$5:BJ$30))</f>
        <v>37.300028818112189</v>
      </c>
      <c r="BK42" s="81">
        <f t="array" ref="BK42">_xlfn.STDEV.P(IF($E$5:$E$30=$E41,BK$5:BK$30))</f>
        <v>64.184095226153957</v>
      </c>
      <c r="BL42" s="81">
        <f t="array" ref="BL42">_xlfn.STDEV.P(IF($E$5:$E$30=$E41,BL$5:BL$30))</f>
        <v>61.293679222838492</v>
      </c>
      <c r="BM42" s="81">
        <f t="array" ref="BM42">_xlfn.STDEV.P(IF($E$5:$E$30=$E41,BM$5:BM$30))</f>
        <v>65.635213900832227</v>
      </c>
      <c r="BN42" s="81">
        <f t="array" ref="BN42">_xlfn.STDEV.P(IF($E$5:$E$30=$E41,BN$5:BN$30))</f>
        <v>49.257417234912175</v>
      </c>
      <c r="BO42" s="81">
        <f t="array" ref="BO42">_xlfn.STDEV.P(IF($E$5:$E$30=$E41,BO$5:BO$30))</f>
        <v>0</v>
      </c>
      <c r="BP42" s="81">
        <f t="array" ref="BP42">_xlfn.STDEV.P(IF($E$5:$E$30=$E41,BP$5:BP$30))</f>
        <v>0</v>
      </c>
      <c r="BQ42" s="104" t="s">
        <v>11</v>
      </c>
      <c r="BR42" s="74">
        <f t="array" ref="BR42">_xlfn.STDEV.P(IF($E$5:$E$30=$E41,BR$5:BR$30))</f>
        <v>8.3874871604806944E-2</v>
      </c>
      <c r="BS42" s="74">
        <f t="array" ref="BS42">_xlfn.STDEV.P(IF($E$5:$E$30=$E41,BS$5:BS$30))</f>
        <v>0.14956273429311587</v>
      </c>
      <c r="BT42" s="74">
        <f t="array" ref="BT42">_xlfn.STDEV.P(IF($E$5:$E$30=$E41,BT$5:BT$30))</f>
        <v>0</v>
      </c>
      <c r="BU42" s="74">
        <f t="array" ref="BU42">_xlfn.STDEV.P(IF($E$5:$E$30=$E41,BU$5:BU$30))</f>
        <v>0.35962483494320963</v>
      </c>
      <c r="BV42" s="74">
        <f t="array" ref="BV42">_xlfn.STDEV.P(IF($E$5:$E$30=$E41,BV$5:BV$30))</f>
        <v>0.20667127351344841</v>
      </c>
      <c r="BW42" s="74">
        <f t="array" ref="BW42">_xlfn.STDEV.P(IF($E$5:$E$30=$E41,BW$5:BW$30))</f>
        <v>0.29120546185407881</v>
      </c>
      <c r="BX42" s="74">
        <f t="array" ref="BX42">_xlfn.STDEV.P(IF($E$5:$E$30=$E41,BX$5:BX$30))</f>
        <v>0.23283023324751731</v>
      </c>
      <c r="BY42" s="74">
        <f t="array" ref="BY42">_xlfn.STDEV.P(IF($E$5:$E$30=$E41,BY$5:BY$30))</f>
        <v>0.37106849065538267</v>
      </c>
      <c r="BZ42" s="74">
        <f t="array" ref="BZ42">_xlfn.STDEV.P(IF($E$5:$E$30=$E41,BZ$5:BZ$30))</f>
        <v>0.27441860255340583</v>
      </c>
      <c r="CA42" s="74">
        <f t="array" ref="CA42">_xlfn.STDEV.P(IF($E$5:$E$30=$E41,CA$5:CA$30))</f>
        <v>0.48757758043254845</v>
      </c>
      <c r="CB42" s="74">
        <f t="array" ref="CB42">_xlfn.STDEV.P(IF($E$5:$E$30=$E41,CB$5:CB$30))</f>
        <v>0.73515797594301979</v>
      </c>
      <c r="CC42" s="74">
        <f t="array" ref="CC42">_xlfn.STDEV.P(IF($E$5:$E$30=$E41,CC$5:CC$30))</f>
        <v>0.99238747640285518</v>
      </c>
      <c r="CD42" s="74">
        <f t="array" ref="CD42">_xlfn.STDEV.P(IF($E$5:$E$30=$E41,CD$5:CD$30))</f>
        <v>1.4135491340671964</v>
      </c>
      <c r="CE42" s="74">
        <f t="array" ref="CE42">_xlfn.STDEV.P(IF($E$5:$E$30=$E41,CE$5:CE$30))</f>
        <v>2.0776126349412278</v>
      </c>
      <c r="CF42" s="74">
        <f t="array" ref="CF42">_xlfn.STDEV.P(IF($E$5:$E$30=$E41,CF$5:CF$30))</f>
        <v>2.2341328943634418</v>
      </c>
      <c r="CG42" s="74">
        <f t="array" ref="CG42">_xlfn.STDEV.P(IF($E$5:$E$30=$E41,CG$5:CG$30))</f>
        <v>5.2812767770481308</v>
      </c>
      <c r="CH42" s="74">
        <f t="array" ref="CH42">_xlfn.STDEV.P(IF($E$5:$E$30=$E41,CH$5:CH$30))</f>
        <v>2.8080461273643569</v>
      </c>
      <c r="CI42" s="74">
        <f t="array" ref="CI42">_xlfn.STDEV.P(IF($E$5:$E$30=$E41,CI$5:CI$30))</f>
        <v>3.9297321066953783</v>
      </c>
      <c r="CJ42" s="74">
        <f t="array" ref="CJ42">_xlfn.STDEV.P(IF($E$5:$E$30=$E41,CJ$5:CJ$30))</f>
        <v>0</v>
      </c>
      <c r="CK42" s="74">
        <f t="array" ref="CK42">_xlfn.STDEV.P(IF($E$5:$E$30=$E41,CK$5:CK$30))</f>
        <v>0</v>
      </c>
      <c r="CL42" s="74">
        <f t="array" ref="CL42">_xlfn.STDEV.P(IF($E$5:$E$30=$E41,CL$5:CL$30))</f>
        <v>0</v>
      </c>
      <c r="CM42" s="74">
        <f t="array" ref="CM42">_xlfn.STDEV.P(IF($E$5:$E$30=$E41,CM$5:CM$30))</f>
        <v>0</v>
      </c>
      <c r="CN42" s="74">
        <f t="array" ref="CN42">_xlfn.STDEV.P(IF($E$5:$E$30=$E41,CN$5:CN$30))</f>
        <v>0</v>
      </c>
      <c r="CO42" s="74">
        <f t="array" ref="CO42">_xlfn.STDEV.P(IF($E$5:$E$30=$E41,CO$5:CO$30))</f>
        <v>0</v>
      </c>
      <c r="CP42" s="74">
        <f t="array" ref="CP42">_xlfn.STDEV.P(IF($E$5:$E$30=$E41,CP$5:CP$30))</f>
        <v>0</v>
      </c>
      <c r="CQ42" s="74">
        <f t="array" ref="CQ42">_xlfn.STDEV.P(IF($E$5:$E$30=$E41,CQ$5:CQ$30))</f>
        <v>0</v>
      </c>
      <c r="CR42" s="74">
        <f t="array" ref="CR42">_xlfn.STDEV.P(IF($E$5:$E$30=$E41,CR$5:CR$30))</f>
        <v>0</v>
      </c>
      <c r="CS42" s="74">
        <f t="array" ref="CS42">_xlfn.STDEV.P(IF($E$5:$E$30=$E41,CS$5:CS$30))</f>
        <v>0</v>
      </c>
      <c r="CT42" s="74">
        <f t="array" ref="CT42">_xlfn.STDEV.P(IF($E$5:$E$30=$E41,CT$5:CT$30))</f>
        <v>0</v>
      </c>
      <c r="CU42" s="74">
        <f t="array" ref="CU42">_xlfn.STDEV.P(IF($E$5:$E$30=$E41,CU$5:CU$30))</f>
        <v>0</v>
      </c>
      <c r="CV42" s="74">
        <f t="array" ref="CV42">_xlfn.STDEV.P(IF($E$5:$E$30=$E41,CV$5:CV$30))</f>
        <v>0</v>
      </c>
      <c r="CW42" s="74">
        <f t="array" ref="CW42">_xlfn.STDEV.P(IF($E$5:$E$30=$E41,CW$5:CW$30))</f>
        <v>0</v>
      </c>
      <c r="CX42" s="74">
        <f t="array" ref="CX42">_xlfn.STDEV.P(IF($E$5:$E$30=$E41,CX$5:CX$30))</f>
        <v>0</v>
      </c>
      <c r="CY42" s="74">
        <f t="array" ref="CY42">_xlfn.STDEV.P(IF($E$5:$E$30=$E41,CY$5:CY$30))</f>
        <v>0</v>
      </c>
      <c r="CZ42" s="74">
        <f t="array" ref="CZ42">_xlfn.STDEV.P(IF($E$5:$E$30=$E41,CZ$5:CZ$30))</f>
        <v>0</v>
      </c>
      <c r="DA42" s="74">
        <f t="array" ref="DA42">_xlfn.STDEV.P(IF($E$5:$E$30=$E41,DA$5:DA$30))</f>
        <v>0</v>
      </c>
      <c r="DB42" s="74">
        <f t="array" ref="DB42">_xlfn.STDEV.P(IF($E$5:$E$30=$E41,DB$5:DB$30))</f>
        <v>0</v>
      </c>
      <c r="DC42" s="74">
        <f t="array" ref="DC42">_xlfn.STDEV.P(IF($E$5:$E$30=$E41,DC$5:DC$30))</f>
        <v>0</v>
      </c>
      <c r="DD42" s="74">
        <f t="array" ref="DD42">_xlfn.STDEV.P(IF($E$5:$E$30=$E41,DD$5:DD$30))</f>
        <v>0</v>
      </c>
      <c r="DE42" s="74">
        <f t="array" ref="DE42">_xlfn.STDEV.P(IF($E$5:$E$30=$E41,DE$5:DE$30))</f>
        <v>0</v>
      </c>
      <c r="DF42" s="74">
        <f t="array" ref="DF42">_xlfn.STDEV.P(IF($E$5:$E$30=$E41,DF$5:DF$30))</f>
        <v>0</v>
      </c>
      <c r="DG42" s="74">
        <f t="array" ref="DG42">_xlfn.STDEV.P(IF($E$5:$E$30=$E41,DG$5:DG$30))</f>
        <v>0</v>
      </c>
      <c r="DH42" s="74">
        <f t="array" ref="DH42">_xlfn.STDEV.P(IF($E$5:$E$30=$E41,DH$5:DH$30))</f>
        <v>0</v>
      </c>
      <c r="DI42" s="74">
        <f t="array" ref="DI42">_xlfn.STDEV.P(IF($E$5:$E$30=$E41,DI$5:DI$30))</f>
        <v>0</v>
      </c>
      <c r="DJ42" s="74" t="e">
        <f t="array" ref="DJ42">_xlfn.STDEV.P(IF($E$5:$E$30=$E41,DJ$5:DJ$30))</f>
        <v>#DIV/0!</v>
      </c>
      <c r="DK42" s="74" t="e">
        <f t="array" ref="DK42">_xlfn.STDEV.P(IF($E$5:$E$30=$E41,DK$5:DK$30))</f>
        <v>#DIV/0!</v>
      </c>
      <c r="DL42" s="177" t="e">
        <f>#REF!</f>
        <v>#REF!</v>
      </c>
      <c r="DM42" s="177" t="e">
        <f>#REF!</f>
        <v>#REF!</v>
      </c>
      <c r="DN42" s="177" t="e">
        <f>#REF!</f>
        <v>#REF!</v>
      </c>
      <c r="DO42" s="177" t="e">
        <f>#REF!</f>
        <v>#REF!</v>
      </c>
      <c r="DP42" s="162" t="e">
        <f>#REF!</f>
        <v>#REF!</v>
      </c>
    </row>
    <row r="43" spans="1:120" ht="15">
      <c r="A43" s="113"/>
      <c r="E43" s="52"/>
      <c r="I43" s="52"/>
      <c r="K43" s="57"/>
      <c r="L43" s="57"/>
      <c r="P43" s="57"/>
      <c r="Q43" s="57"/>
      <c r="R43" s="57"/>
      <c r="S43" s="243"/>
      <c r="T43" s="243"/>
      <c r="U43" s="57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DF43" s="44"/>
      <c r="DG43" s="44"/>
      <c r="DH43" s="44"/>
      <c r="DI43" s="44"/>
      <c r="DJ43" s="44"/>
      <c r="DK43" s="44"/>
      <c r="DL43" s="177"/>
      <c r="DM43" s="177"/>
      <c r="DN43" s="177"/>
      <c r="DO43" s="177"/>
    </row>
    <row r="44" spans="1:120" ht="14.25" customHeight="1">
      <c r="A44" s="113"/>
      <c r="E44" s="118" t="str">
        <f>'FIG6 Groups'!C9</f>
        <v>MIA PaCa-2 - CP-PTX Combo</v>
      </c>
      <c r="I44" s="118" t="str">
        <f>E44</f>
        <v>MIA PaCa-2 - CP-PTX Combo</v>
      </c>
      <c r="J44" s="107">
        <f>AVERAGEIF($E$5:$E$30,$E44,J$5:J$30)</f>
        <v>27.76</v>
      </c>
      <c r="K44" s="107"/>
      <c r="L44" s="107"/>
      <c r="M44" s="107">
        <f>AVERAGEIF($E$5:$E$30,$E44,M$5:M$30)</f>
        <v>113.423856</v>
      </c>
      <c r="N44" s="107">
        <f>AVERAGEIF($E$5:$E$30,$E44,N$5:N$30)</f>
        <v>1134.23856</v>
      </c>
      <c r="O44" s="107">
        <f>AVERAGEIF($E$5:$E$30,$E44,O$5:O$30)</f>
        <v>37.807952</v>
      </c>
      <c r="P44" s="107">
        <f>AVERAGEIF($E$5:$E$30,$E44,P$5:P$30)</f>
        <v>981.6</v>
      </c>
      <c r="Q44" s="107">
        <f>AVERAGEIF($E$5:$E$30,$E44,Q$5:Q$30)</f>
        <v>8.7693069368001169</v>
      </c>
      <c r="R44" s="107">
        <f>AVERAGEIF($E$5:$E$30,$E44,R$5:R$30)</f>
        <v>0.87693069368001164</v>
      </c>
      <c r="S44" s="244"/>
      <c r="T44" s="244" t="e">
        <f>AVERAGEIF($E$5:$E$30,$E44,T$5:T$30)</f>
        <v>#DIV/0!</v>
      </c>
      <c r="U44" s="107" t="e">
        <f>AVERAGEIF($E$5:$E$30,$E44,U$5:U$30)</f>
        <v>#DIV/0!</v>
      </c>
      <c r="V44" s="72" t="s">
        <v>9</v>
      </c>
      <c r="W44" s="78">
        <f>AVERAGEIF($E$5:$E$30,$E44,W$5:W$30)</f>
        <v>77.683424000000002</v>
      </c>
      <c r="X44" s="78">
        <f>AVERAGEIF($E$5:$E$30,$E44,X$5:X$30)</f>
        <v>83.259999999999991</v>
      </c>
      <c r="Y44" s="78">
        <f>AVERAGEIF($E$5:$E$30,$E44,Y$5:Y$30)</f>
        <v>113.423856</v>
      </c>
      <c r="Z44" s="78">
        <f>AVERAGEIF($E$5:$E$30,$E44,Z$5:Z$30)</f>
        <v>192.38648000000001</v>
      </c>
      <c r="AA44" s="78">
        <f>AVERAGEIF($E$5:$E$30,$E44,AA$5:AA$30)</f>
        <v>172.44125600000001</v>
      </c>
      <c r="AB44" s="78">
        <f>AVERAGEIF($E$5:$E$30,$E44,AB$5:AB$30)</f>
        <v>132.66208799999998</v>
      </c>
      <c r="AC44" s="78">
        <f>AVERAGEIF($E$5:$E$30,$E44,AC$5:AC$30)</f>
        <v>100.58516</v>
      </c>
      <c r="AD44" s="78">
        <f>AVERAGEIF($E$5:$E$30,$E44,AD$5:AD$30)</f>
        <v>87.564880000000002</v>
      </c>
      <c r="AE44" s="78">
        <f>AVERAGEIF($E$5:$E$30,$E44,AE$5:AE$30)</f>
        <v>62.396256000000008</v>
      </c>
      <c r="AF44" s="78">
        <f>AVERAGEIF($E$5:$E$30,$E44,AF$5:AF$30)</f>
        <v>5.299424000000001</v>
      </c>
      <c r="AG44" s="78">
        <f>AVERAGEIF($E$5:$E$30,$E44,AG$5:AG$30)</f>
        <v>1.3203839999999998</v>
      </c>
      <c r="AH44" s="78">
        <f>AVERAGEIF($E$5:$E$30,$E44,AH$5:AH$30)</f>
        <v>2.3400000000000003</v>
      </c>
      <c r="AI44" s="78">
        <f>AVERAGEIF($E$5:$E$30,$E44,AI$5:AI$30)</f>
        <v>0.84239999999999993</v>
      </c>
      <c r="AJ44" s="78">
        <f>AVERAGEIF($E$5:$E$30,$E44,AJ$5:AJ$30)</f>
        <v>3.1982080000000006</v>
      </c>
      <c r="AK44" s="78">
        <f>AVERAGEIF($E$5:$E$30,$E44,AK$5:AK$30)</f>
        <v>0</v>
      </c>
      <c r="AL44" s="78">
        <f>AVERAGEIF($E$5:$E$30,$E44,AL$5:AL$30)</f>
        <v>0.44844799999999996</v>
      </c>
      <c r="AM44" s="78">
        <f>AVERAGEIF($E$5:$E$30,$E44,AM$5:AM$30)</f>
        <v>5.4878720000000012</v>
      </c>
      <c r="AN44" s="78">
        <f>AVERAGEIF($E$5:$E$30,$E44,AN$5:AN$30)</f>
        <v>14.079935999999998</v>
      </c>
      <c r="AO44" s="78">
        <f>AVERAGEIF($E$5:$E$30,$E44,AO$5:AO$30)</f>
        <v>15.01136</v>
      </c>
      <c r="AP44" s="78">
        <f>AVERAGEIF($E$5:$E$30,$E44,AP$5:AP$30)</f>
        <v>16.97072</v>
      </c>
      <c r="AQ44" s="78">
        <f>AVERAGEIF($E$5:$E$30,$E44,AQ$5:AQ$30)</f>
        <v>53.591512000000009</v>
      </c>
      <c r="AR44" s="78">
        <f>AVERAGEIF($E$5:$E$30,$E44,AR$5:AR$30)</f>
        <v>185.28941600000002</v>
      </c>
      <c r="AS44" s="78">
        <f>AVERAGEIF($E$5:$E$30,$E44,AS$5:AS$30)</f>
        <v>260.749008</v>
      </c>
      <c r="AT44" s="78">
        <f>AVERAGEIF($E$5:$E$30,$E44,AT$5:AT$30)</f>
        <v>306.03300000000002</v>
      </c>
      <c r="AU44" s="78">
        <f>AVERAGEIF($E$5:$E$30,$E44,AU$5:AU$30)</f>
        <v>384.81123200000013</v>
      </c>
      <c r="AV44" s="78">
        <f>AVERAGEIF($E$5:$E$30,$E44,AV$5:AV$30)</f>
        <v>513.26267200000007</v>
      </c>
      <c r="AW44" s="78">
        <f>AVERAGEIF($E$5:$E$30,$E44,AW$5:AW$30)</f>
        <v>556.38252799999987</v>
      </c>
      <c r="AX44" s="78">
        <f>AVERAGEIF($E$5:$E$30,$E44,AX$5:AX$30)</f>
        <v>720.13000799999998</v>
      </c>
      <c r="AY44" s="78">
        <f>AVERAGEIF($E$5:$E$30,$E44,AY$5:AY$30)</f>
        <v>596.90163000000018</v>
      </c>
      <c r="AZ44" s="78">
        <f>AVERAGEIF($E$5:$E$30,$E44,AZ$5:AZ$30)</f>
        <v>145.26772000000003</v>
      </c>
      <c r="BA44" s="78">
        <f>AVERAGEIF($E$5:$E$30,$E44,BA$5:BA$30)</f>
        <v>142.15898666666666</v>
      </c>
      <c r="BB44" s="78">
        <f>AVERAGEIF($E$5:$E$30,$E44,BB$5:BB$30)</f>
        <v>160.29312000000002</v>
      </c>
      <c r="BC44" s="78">
        <f>AVERAGEIF($E$5:$E$30,$E44,BC$5:BC$30)</f>
        <v>228.25296</v>
      </c>
      <c r="BD44" s="78">
        <f>AVERAGEIF($E$5:$E$30,$E44,BD$5:BD$30)</f>
        <v>254.42334666666667</v>
      </c>
      <c r="BE44" s="78">
        <f>AVERAGEIF($E$5:$E$30,$E44,BE$5:BE$30)</f>
        <v>261.19634666666667</v>
      </c>
      <c r="BF44" s="78">
        <f>AVERAGEIF($E$5:$E$30,$E44,BF$5:BF$30)</f>
        <v>351.71084000000002</v>
      </c>
      <c r="BG44" s="78">
        <f>AVERAGEIF($E$5:$E$30,$E44,BG$5:BG$30)</f>
        <v>374.09146666666675</v>
      </c>
      <c r="BH44" s="78">
        <f>AVERAGEIF($E$5:$E$30,$E44,BH$5:BH$30)</f>
        <v>443.21142666666668</v>
      </c>
      <c r="BI44" s="78">
        <f>AVERAGEIF($E$5:$E$30,$E44,BI$5:BI$30)</f>
        <v>572.16033333333337</v>
      </c>
      <c r="BJ44" s="78">
        <f>AVERAGEIF($E$5:$E$30,$E44,BJ$5:BJ$30)</f>
        <v>0</v>
      </c>
      <c r="BK44" s="78">
        <f>AVERAGEIF($E$5:$E$30,$E44,BK$5:BK$30)</f>
        <v>0</v>
      </c>
      <c r="BL44" s="78">
        <f>AVERAGEIF($E$5:$E$30,$E44,BL$5:BL$30)</f>
        <v>0</v>
      </c>
      <c r="BM44" s="78">
        <f>AVERAGEIF($E$5:$E$30,$E44,BM$5:BM$30)</f>
        <v>0</v>
      </c>
      <c r="BN44" s="78">
        <f>AVERAGEIF($E$5:$E$30,$E44,BN$5:BN$30)</f>
        <v>0</v>
      </c>
      <c r="BO44" s="78" t="e">
        <f>AVERAGEIF($E$5:$E$30,$E44,BO$5:BO$30)</f>
        <v>#DIV/0!</v>
      </c>
      <c r="BP44" s="78" t="e">
        <f>AVERAGEIF($E$5:$E$30,$E44,BP$5:BP$30)</f>
        <v>#DIV/0!</v>
      </c>
      <c r="BQ44" s="103" t="s">
        <v>9</v>
      </c>
      <c r="BR44" s="73">
        <f>AVERAGEIF($E$5:$E$30,$E44,BR$5:BR$30)</f>
        <v>0.70711884391842217</v>
      </c>
      <c r="BS44" s="73">
        <f>AVERAGEIF($E$5:$E$30,$E44,BS$5:BS$30)</f>
        <v>0.77126134818247138</v>
      </c>
      <c r="BT44" s="73">
        <f>AVERAGEIF($E$5:$E$30,$E44,BT$5:BT$30)</f>
        <v>1</v>
      </c>
      <c r="BU44" s="73">
        <f>AVERAGEIF($E$5:$E$30,$E44,BU$5:BU$30)</f>
        <v>1.6886558677625854</v>
      </c>
      <c r="BV44" s="73">
        <f>AVERAGEIF($E$5:$E$30,$E44,BV$5:BV$30)</f>
        <v>1.5539510292764027</v>
      </c>
      <c r="BW44" s="73">
        <f>AVERAGEIF($E$5:$E$30,$E44,BW$5:BW$30)</f>
        <v>1.2125214842425232</v>
      </c>
      <c r="BX44" s="73">
        <f>AVERAGEIF($E$5:$E$30,$E44,BX$5:BX$30)</f>
        <v>0.91362634836503953</v>
      </c>
      <c r="BY44" s="73">
        <f>AVERAGEIF($E$5:$E$30,$E44,BY$5:BY$30)</f>
        <v>0.78263710452313651</v>
      </c>
      <c r="BZ44" s="73">
        <f>AVERAGEIF($E$5:$E$30,$E44,BZ$5:BZ$30)</f>
        <v>0.57123579461798757</v>
      </c>
      <c r="CA44" s="73">
        <f>AVERAGEIF($E$5:$E$30,$E44,CA$5:CA$30)</f>
        <v>3.6509898549199345E-2</v>
      </c>
      <c r="CB44" s="73">
        <f>AVERAGEIF($E$5:$E$30,$E44,CB$5:CB$30)</f>
        <v>1.1991499409681226E-2</v>
      </c>
      <c r="CC44" s="73">
        <f>AVERAGEIF($E$5:$E$30,$E44,CC$5:CC$30)</f>
        <v>1.4351732254083071E-2</v>
      </c>
      <c r="CD44" s="73">
        <f>AVERAGEIF($E$5:$E$30,$E44,CD$5:CD$30)</f>
        <v>8.7792981980761419E-3</v>
      </c>
      <c r="CE44" s="73">
        <f>AVERAGEIF($E$5:$E$30,$E44,CE$5:CE$30)</f>
        <v>1.9615309790113895E-2</v>
      </c>
      <c r="CF44" s="73">
        <f>AVERAGEIF($E$5:$E$30,$E44,CF$5:CF$30)</f>
        <v>0</v>
      </c>
      <c r="CG44" s="73">
        <f>AVERAGEIF($E$5:$E$30,$E44,CG$5:CG$30)</f>
        <v>4.0727272727272721E-3</v>
      </c>
      <c r="CH44" s="73">
        <f>AVERAGEIF($E$5:$E$30,$E44,CH$5:CH$30)</f>
        <v>4.8273150072093485E-2</v>
      </c>
      <c r="CI44" s="73">
        <f>AVERAGEIF($E$5:$E$30,$E44,CI$5:CI$30)</f>
        <v>0.14287361662098569</v>
      </c>
      <c r="CJ44" s="73">
        <f>AVERAGEIF($E$5:$E$30,$E44,CJ$5:CJ$30)</f>
        <v>0.13736822030765289</v>
      </c>
      <c r="CK44" s="73">
        <f>AVERAGEIF($E$5:$E$30,$E44,CK$5:CK$30)</f>
        <v>0.15675704430858142</v>
      </c>
      <c r="CL44" s="73">
        <f>AVERAGEIF($E$5:$E$30,$E44,CL$5:CL$30)</f>
        <v>0.53174824211664695</v>
      </c>
      <c r="CM44" s="73">
        <f>AVERAGEIF($E$5:$E$30,$E44,CM$5:CM$30)</f>
        <v>1.8318647523307423</v>
      </c>
      <c r="CN44" s="73">
        <f>AVERAGEIF($E$5:$E$30,$E44,CN$5:CN$30)</f>
        <v>2.6261514815768221</v>
      </c>
      <c r="CO44" s="73">
        <f>AVERAGEIF($E$5:$E$30,$E44,CO$5:CO$30)</f>
        <v>3.1403278962176713</v>
      </c>
      <c r="CP44" s="73">
        <f>AVERAGEIF($E$5:$E$30,$E44,CP$5:CP$30)</f>
        <v>3.9173482697886834</v>
      </c>
      <c r="CQ44" s="73">
        <f>AVERAGEIF($E$5:$E$30,$E44,CQ$5:CQ$30)</f>
        <v>5.2175978124027287</v>
      </c>
      <c r="CR44" s="73">
        <f>AVERAGEIF($E$5:$E$30,$E44,CR$5:CR$30)</f>
        <v>5.6691696394612681</v>
      </c>
      <c r="CS44" s="73">
        <f>AVERAGEIF($E$5:$E$30,$E44,CS$5:CS$30)</f>
        <v>7.2489826982701118</v>
      </c>
      <c r="CT44" s="73">
        <f>AVERAGEIF($E$5:$E$30,$E44,CT$5:CT$30)</f>
        <v>5.9324084789367841</v>
      </c>
      <c r="CU44" s="73">
        <f>AVERAGEIF($E$5:$E$30,$E44,CU$5:CU$30)</f>
        <v>0.95840182747695712</v>
      </c>
      <c r="CV44" s="73">
        <f>AVERAGEIF($E$5:$E$30,$E44,CV$5:CV$30)</f>
        <v>0.93146634439104803</v>
      </c>
      <c r="CW44" s="73">
        <f>AVERAGEIF($E$5:$E$30,$E44,CW$5:CW$30)</f>
        <v>1.0800462415523067</v>
      </c>
      <c r="CX44" s="73">
        <f>AVERAGEIF($E$5:$E$30,$E44,CX$5:CX$30)</f>
        <v>1.5063921986804252</v>
      </c>
      <c r="CY44" s="73">
        <f>AVERAGEIF($E$5:$E$30,$E44,CY$5:CY$30)</f>
        <v>1.6790744541090785</v>
      </c>
      <c r="CZ44" s="73">
        <f>AVERAGEIF($E$5:$E$30,$E44,CZ$5:CZ$30)</f>
        <v>1.6890167261014595</v>
      </c>
      <c r="DA44" s="73">
        <f>AVERAGEIF($E$5:$E$30,$E44,DA$5:DA$30)</f>
        <v>2.1771416489708875</v>
      </c>
      <c r="DB44" s="73">
        <f>AVERAGEIF($E$5:$E$30,$E44,DB$5:DB$30)</f>
        <v>2.2943848581783088</v>
      </c>
      <c r="DC44" s="73">
        <f>AVERAGEIF($E$5:$E$30,$E44,DC$5:DC$30)</f>
        <v>2.7183127040470825</v>
      </c>
      <c r="DD44" s="73">
        <f>AVERAGEIF($E$5:$E$30,$E44,DD$5:DD$30)</f>
        <v>3.5091845770969745</v>
      </c>
      <c r="DE44" s="73">
        <f>AVERAGEIF($E$5:$E$30,$E44,DE$5:DE$30)</f>
        <v>0</v>
      </c>
      <c r="DF44" s="73">
        <f>AVERAGEIF($E$5:$E$30,$E44,DF$5:DF$30)</f>
        <v>0</v>
      </c>
      <c r="DG44" s="73">
        <f>AVERAGEIF($E$5:$E$30,$E44,DG$5:DG$30)</f>
        <v>0</v>
      </c>
      <c r="DH44" s="73">
        <f>AVERAGEIF($E$5:$E$30,$E44,DH$5:DH$30)</f>
        <v>0</v>
      </c>
      <c r="DI44" s="73">
        <f>AVERAGEIF($E$5:$E$30,$E44,DI$5:DI$30)</f>
        <v>0</v>
      </c>
      <c r="DJ44" s="73" t="e">
        <f>AVERAGEIF($E$5:$E$30,$E44,DJ$5:DJ$30)</f>
        <v>#DIV/0!</v>
      </c>
      <c r="DK44" s="73" t="e">
        <f>AVERAGEIF($E$5:$E$30,$E44,DK$5:DK$30)</f>
        <v>#DIV/0!</v>
      </c>
      <c r="DL44" s="178" t="e">
        <f t="shared" ref="DL44:DP44" si="91">SQRT(DL39*DL42-(DL38^2*DL41^2))</f>
        <v>#REF!</v>
      </c>
      <c r="DM44" s="178" t="e">
        <f t="shared" si="91"/>
        <v>#REF!</v>
      </c>
      <c r="DN44" s="178" t="e">
        <f t="shared" si="91"/>
        <v>#REF!</v>
      </c>
      <c r="DO44" s="178" t="e">
        <f t="shared" si="91"/>
        <v>#REF!</v>
      </c>
      <c r="DP44" s="148" t="e">
        <f t="shared" si="91"/>
        <v>#REF!</v>
      </c>
    </row>
    <row r="45" spans="1:120" ht="14.25" customHeight="1">
      <c r="A45" s="113"/>
      <c r="E45" s="118"/>
      <c r="I45" s="93"/>
      <c r="J45" s="107">
        <f t="array" ref="J45">_xlfn.STDEV.P(IF($E$5:$E$30=$E44,J$5:J$30))</f>
        <v>1.723484841824841</v>
      </c>
      <c r="K45" s="107"/>
      <c r="L45" s="107"/>
      <c r="M45" s="107">
        <f t="array" ref="M45">_xlfn.STDEV.P(IF($E$5:$E$30=$E44,M$5:M$30))</f>
        <v>25.409191450435095</v>
      </c>
      <c r="N45" s="107">
        <f t="array" ref="N45">_xlfn.STDEV.P(IF($E$5:$E$30=$E44,N$5:N$30))</f>
        <v>254.09191450435074</v>
      </c>
      <c r="O45" s="107">
        <f t="array" ref="O45">_xlfn.STDEV.P(IF($E$5:$E$30=$E44,O$5:O$30))</f>
        <v>8.4697304834783527</v>
      </c>
      <c r="P45" s="107">
        <f t="array" ref="P45">_xlfn.STDEV.P(IF($E$5:$E$30=$E44,P$5:P$30))</f>
        <v>388.62969521126405</v>
      </c>
      <c r="Q45" s="107">
        <f t="array" ref="Q45">_xlfn.STDEV.P(IF($E$5:$E$30=$E44,Q$5:Q$30))</f>
        <v>3.3933709702883288</v>
      </c>
      <c r="R45" s="107">
        <f t="array" ref="R45">_xlfn.STDEV.P(IF($E$5:$E$30=$E44,R$5:R$30))</f>
        <v>0.33933709702883319</v>
      </c>
      <c r="S45" s="244"/>
      <c r="T45" s="244">
        <f t="array" ref="T45">_xlfn.STDEV.P(IF($E$5:$E$30=$E44,T$5:T$30))</f>
        <v>0</v>
      </c>
      <c r="U45" s="107">
        <f t="array" ref="U45">_xlfn.STDEV.P(IF($E$5:$E$30=$E44,U$5:U$30))</f>
        <v>0</v>
      </c>
      <c r="V45" s="72" t="s">
        <v>11</v>
      </c>
      <c r="W45" s="81">
        <f t="array" ref="W45">_xlfn.STDEV.P(IF($E$5:$E$30=$E44,W$5:W$30))</f>
        <v>12.787606147569029</v>
      </c>
      <c r="X45" s="81">
        <f t="array" ref="X45">_xlfn.STDEV.P(IF($E$5:$E$30=$E44,X$5:X$30))</f>
        <v>20.794672394630361</v>
      </c>
      <c r="Y45" s="81">
        <f t="array" ref="Y45">_xlfn.STDEV.P(IF($E$5:$E$30=$E44,Y$5:Y$30))</f>
        <v>25.409191450435095</v>
      </c>
      <c r="Z45" s="81">
        <f t="array" ref="Z45">_xlfn.STDEV.P(IF($E$5:$E$30=$E44,Z$5:Z$30))</f>
        <v>52.345457446651544</v>
      </c>
      <c r="AA45" s="81">
        <f t="array" ref="AA45">_xlfn.STDEV.P(IF($E$5:$E$30=$E44,AA$5:AA$30))</f>
        <v>25.31697355912954</v>
      </c>
      <c r="AB45" s="81">
        <f t="array" ref="AB45">_xlfn.STDEV.P(IF($E$5:$E$30=$E44,AB$5:AB$30))</f>
        <v>10.568817230124468</v>
      </c>
      <c r="AC45" s="81">
        <f t="array" ref="AC45">_xlfn.STDEV.P(IF($E$5:$E$30=$E44,AC$5:AC$30))</f>
        <v>16.362252905220558</v>
      </c>
      <c r="AD45" s="81">
        <f t="array" ref="AD45">_xlfn.STDEV.P(IF($E$5:$E$30=$E44,AD$5:AD$30))</f>
        <v>16.264656312266819</v>
      </c>
      <c r="AE45" s="81">
        <f t="array" ref="AE45">_xlfn.STDEV.P(IF($E$5:$E$30=$E44,AE$5:AE$30))</f>
        <v>33.55935659334223</v>
      </c>
      <c r="AF45" s="81">
        <f t="array" ref="AF45">_xlfn.STDEV.P(IF($E$5:$E$30=$E44,AF$5:AF$30))</f>
        <v>7.6670305981953666</v>
      </c>
      <c r="AG45" s="81">
        <f t="array" ref="AG45">_xlfn.STDEV.P(IF($E$5:$E$30=$E44,AG$5:AG$30))</f>
        <v>2.6407679999999996</v>
      </c>
      <c r="AH45" s="81">
        <f t="array" ref="AH45">_xlfn.STDEV.P(IF($E$5:$E$30=$E44,AH$5:AH$30))</f>
        <v>4.6800000000000006</v>
      </c>
      <c r="AI45" s="81">
        <f t="array" ref="AI45">_xlfn.STDEV.P(IF($E$5:$E$30=$E44,AI$5:AI$30))</f>
        <v>1.6848000000000001</v>
      </c>
      <c r="AJ45" s="81">
        <f t="array" ref="AJ45">_xlfn.STDEV.P(IF($E$5:$E$30=$E44,AJ$5:AJ$30))</f>
        <v>6.3964160000000021</v>
      </c>
      <c r="AK45" s="81">
        <f t="array" ref="AK45">_xlfn.STDEV.P(IF($E$5:$E$30=$E44,AK$5:AK$30))</f>
        <v>0</v>
      </c>
      <c r="AL45" s="81">
        <f t="array" ref="AL45">_xlfn.STDEV.P(IF($E$5:$E$30=$E44,AL$5:AL$30))</f>
        <v>0.89689599999999992</v>
      </c>
      <c r="AM45" s="81">
        <f t="array" ref="AM45">_xlfn.STDEV.P(IF($E$5:$E$30=$E44,AM$5:AM$30))</f>
        <v>7.0415352554351411</v>
      </c>
      <c r="AN45" s="81">
        <f t="array" ref="AN45">_xlfn.STDEV.P(IF($E$5:$E$30=$E44,AN$5:AN$30))</f>
        <v>25.965925789071797</v>
      </c>
      <c r="AO45" s="81">
        <f t="array" ref="AO45">_xlfn.STDEV.P(IF($E$5:$E$30=$E44,AO$5:AO$30))</f>
        <v>20.772285670841327</v>
      </c>
      <c r="AP45" s="81">
        <f t="array" ref="AP45">_xlfn.STDEV.P(IF($E$5:$E$30=$E44,AP$5:AP$30))</f>
        <v>24.003156958020337</v>
      </c>
      <c r="AQ45" s="81">
        <f t="array" ref="AQ45">_xlfn.STDEV.P(IF($E$5:$E$30=$E44,AQ$5:AQ$30))</f>
        <v>69.765524078807417</v>
      </c>
      <c r="AR45" s="81">
        <f t="array" ref="AR45">_xlfn.STDEV.P(IF($E$5:$E$30=$E44,AR$5:AR$30))</f>
        <v>181.28445317915262</v>
      </c>
      <c r="AS45" s="81">
        <f t="array" ref="AS45">_xlfn.STDEV.P(IF($E$5:$E$30=$E44,AS$5:AS$30))</f>
        <v>284.08006029272292</v>
      </c>
      <c r="AT45" s="81">
        <f t="array" ref="AT45">_xlfn.STDEV.P(IF($E$5:$E$30=$E44,AT$5:AT$30))</f>
        <v>358.19715872463308</v>
      </c>
      <c r="AU45" s="81">
        <f t="array" ref="AU45">_xlfn.STDEV.P(IF($E$5:$E$30=$E44,AU$5:AU$30))</f>
        <v>409.25875245531523</v>
      </c>
      <c r="AV45" s="81">
        <f t="array" ref="AV45">_xlfn.STDEV.P(IF($E$5:$E$30=$E44,AV$5:AV$30))</f>
        <v>528.1169739014673</v>
      </c>
      <c r="AW45" s="81">
        <f t="array" ref="AW45">_xlfn.STDEV.P(IF($E$5:$E$30=$E44,AW$5:AW$30))</f>
        <v>586.23464461597689</v>
      </c>
      <c r="AX45" s="81">
        <f t="array" ref="AX45">_xlfn.STDEV.P(IF($E$5:$E$30=$E44,AX$5:AX$30))</f>
        <v>731.95323342334154</v>
      </c>
      <c r="AY45" s="81">
        <f t="array" ref="AY45">_xlfn.STDEV.P(IF($E$5:$E$30=$E44,AY$5:AY$30))</f>
        <v>811.95866549222853</v>
      </c>
      <c r="AZ45" s="81">
        <f t="array" ref="AZ45">_xlfn.STDEV.P(IF($E$5:$E$30=$E44,AZ$5:AZ$30))</f>
        <v>144.21574275538913</v>
      </c>
      <c r="BA45" s="81">
        <f t="array" ref="BA45">_xlfn.STDEV.P(IF($E$5:$E$30=$E44,BA$5:BA$30))</f>
        <v>142.75700872258122</v>
      </c>
      <c r="BB45" s="81">
        <f t="array" ref="BB45">_xlfn.STDEV.P(IF($E$5:$E$30=$E44,BB$5:BB$30))</f>
        <v>148.62954948688213</v>
      </c>
      <c r="BC45" s="81">
        <f t="array" ref="BC45">_xlfn.STDEV.P(IF($E$5:$E$30=$E44,BC$5:BC$30))</f>
        <v>227.5913202781675</v>
      </c>
      <c r="BD45" s="81">
        <f t="array" ref="BD45">_xlfn.STDEV.P(IF($E$5:$E$30=$E44,BD$5:BD$30))</f>
        <v>251.17856761483631</v>
      </c>
      <c r="BE45" s="81">
        <f t="array" ref="BE45">_xlfn.STDEV.P(IF($E$5:$E$30=$E44,BE$5:BE$30))</f>
        <v>273.51455983670968</v>
      </c>
      <c r="BF45" s="81">
        <f t="array" ref="BF45">_xlfn.STDEV.P(IF($E$5:$E$30=$E44,BF$5:BF$30))</f>
        <v>413.68047394657651</v>
      </c>
      <c r="BG45" s="81">
        <f t="array" ref="BG45">_xlfn.STDEV.P(IF($E$5:$E$30=$E44,BG$5:BG$30))</f>
        <v>448.90976000000006</v>
      </c>
      <c r="BH45" s="81">
        <f t="array" ref="BH45">_xlfn.STDEV.P(IF($E$5:$E$30=$E44,BH$5:BH$30))</f>
        <v>531.85371200000009</v>
      </c>
      <c r="BI45" s="81">
        <f t="array" ref="BI45">_xlfn.STDEV.P(IF($E$5:$E$30=$E44,BI$5:BI$30))</f>
        <v>686.5924</v>
      </c>
      <c r="BJ45" s="81">
        <f t="array" ref="BJ45">_xlfn.STDEV.P(IF($E$5:$E$30=$E44,BJ$5:BJ$30))</f>
        <v>0</v>
      </c>
      <c r="BK45" s="81">
        <f t="array" ref="BK45">_xlfn.STDEV.P(IF($E$5:$E$30=$E44,BK$5:BK$30))</f>
        <v>0</v>
      </c>
      <c r="BL45" s="81">
        <f t="array" ref="BL45">_xlfn.STDEV.P(IF($E$5:$E$30=$E44,BL$5:BL$30))</f>
        <v>0</v>
      </c>
      <c r="BM45" s="81">
        <f t="array" ref="BM45">_xlfn.STDEV.P(IF($E$5:$E$30=$E44,BM$5:BM$30))</f>
        <v>0</v>
      </c>
      <c r="BN45" s="81">
        <f t="array" ref="BN45">_xlfn.STDEV.P(IF($E$5:$E$30=$E44,BN$5:BN$30))</f>
        <v>0</v>
      </c>
      <c r="BO45" s="81">
        <f t="array" ref="BO45">_xlfn.STDEV.P(IF($E$5:$E$30=$E44,BO$5:BO$30))</f>
        <v>0</v>
      </c>
      <c r="BP45" s="81">
        <f t="array" ref="BP45">_xlfn.STDEV.P(IF($E$5:$E$30=$E44,BP$5:BP$30))</f>
        <v>0</v>
      </c>
      <c r="BQ45" s="104" t="s">
        <v>11</v>
      </c>
      <c r="BR45" s="74">
        <f t="array" ref="BR45">_xlfn.STDEV.P(IF($E$5:$E$30=$E44,BR$5:BR$30))</f>
        <v>0.16288242462094371</v>
      </c>
      <c r="BS45" s="74">
        <f t="array" ref="BS45">_xlfn.STDEV.P(IF($E$5:$E$30=$E44,BS$5:BS$30))</f>
        <v>0.27265318645606657</v>
      </c>
      <c r="BT45" s="74">
        <f t="array" ref="BT45">_xlfn.STDEV.P(IF($E$5:$E$30=$E44,BT$5:BT$30))</f>
        <v>0</v>
      </c>
      <c r="BU45" s="74">
        <f t="array" ref="BU45">_xlfn.STDEV.P(IF($E$5:$E$30=$E44,BU$5:BU$30))</f>
        <v>0.22763621163104608</v>
      </c>
      <c r="BV45" s="74">
        <f t="array" ref="BV45">_xlfn.STDEV.P(IF($E$5:$E$30=$E44,BV$5:BV$30))</f>
        <v>0.23066031378488591</v>
      </c>
      <c r="BW45" s="74">
        <f t="array" ref="BW45">_xlfn.STDEV.P(IF($E$5:$E$30=$E44,BW$5:BW$30))</f>
        <v>0.20963366841841843</v>
      </c>
      <c r="BX45" s="74">
        <f t="array" ref="BX45">_xlfn.STDEV.P(IF($E$5:$E$30=$E44,BX$5:BX$30))</f>
        <v>0.1928680072953009</v>
      </c>
      <c r="BY45" s="74">
        <f t="array" ref="BY45">_xlfn.STDEV.P(IF($E$5:$E$30=$E44,BY$5:BY$30))</f>
        <v>0.11437856889246989</v>
      </c>
      <c r="BZ45" s="74">
        <f t="array" ref="BZ45">_xlfn.STDEV.P(IF($E$5:$E$30=$E44,BZ$5:BZ$30))</f>
        <v>0.35347240542135849</v>
      </c>
      <c r="CA45" s="74">
        <f t="array" ref="CA45">_xlfn.STDEV.P(IF($E$5:$E$30=$E44,CA$5:CA$30))</f>
        <v>4.8466352986905888E-2</v>
      </c>
      <c r="CB45" s="74">
        <f t="array" ref="CB45">_xlfn.STDEV.P(IF($E$5:$E$30=$E44,CB$5:CB$30))</f>
        <v>2.3982998819362455E-2</v>
      </c>
      <c r="CC45" s="74">
        <f t="array" ref="CC45">_xlfn.STDEV.P(IF($E$5:$E$30=$E44,CC$5:CC$30))</f>
        <v>2.8703464508166146E-2</v>
      </c>
      <c r="CD45" s="74">
        <f t="array" ref="CD45">_xlfn.STDEV.P(IF($E$5:$E$30=$E44,CD$5:CD$30))</f>
        <v>1.7558596396152284E-2</v>
      </c>
      <c r="CE45" s="74">
        <f t="array" ref="CE45">_xlfn.STDEV.P(IF($E$5:$E$30=$E44,CE$5:CE$30))</f>
        <v>3.9230619580227784E-2</v>
      </c>
      <c r="CF45" s="74">
        <f t="array" ref="CF45">_xlfn.STDEV.P(IF($E$5:$E$30=$E44,CF$5:CF$30))</f>
        <v>0</v>
      </c>
      <c r="CG45" s="74">
        <f t="array" ref="CG45">_xlfn.STDEV.P(IF($E$5:$E$30=$E44,CG$5:CG$30))</f>
        <v>8.1454545454545443E-3</v>
      </c>
      <c r="CH45" s="74">
        <f t="array" ref="CH45">_xlfn.STDEV.P(IF($E$5:$E$30=$E44,CH$5:CH$30))</f>
        <v>6.9212506883098393E-2</v>
      </c>
      <c r="CI45" s="74">
        <f t="array" ref="CI45">_xlfn.STDEV.P(IF($E$5:$E$30=$E44,CI$5:CI$30))</f>
        <v>0.27214180016127193</v>
      </c>
      <c r="CJ45" s="74">
        <f t="array" ref="CJ45">_xlfn.STDEV.P(IF($E$5:$E$30=$E44,CJ$5:CJ$30))</f>
        <v>0.21318095792178532</v>
      </c>
      <c r="CK45" s="74">
        <f t="array" ref="CK45">_xlfn.STDEV.P(IF($E$5:$E$30=$E44,CK$5:CK$30))</f>
        <v>0.24795577639261812</v>
      </c>
      <c r="CL45" s="74">
        <f t="array" ref="CL45">_xlfn.STDEV.P(IF($E$5:$E$30=$E44,CL$5:CL$30))</f>
        <v>0.73751696568587222</v>
      </c>
      <c r="CM45" s="74">
        <f t="array" ref="CM45">_xlfn.STDEV.P(IF($E$5:$E$30=$E44,CM$5:CM$30))</f>
        <v>1.9480017860473389</v>
      </c>
      <c r="CN45" s="74">
        <f t="array" ref="CN45">_xlfn.STDEV.P(IF($E$5:$E$30=$E44,CN$5:CN$30))</f>
        <v>3.0461427688606801</v>
      </c>
      <c r="CO45" s="74">
        <f t="array" ref="CO45">_xlfn.STDEV.P(IF($E$5:$E$30=$E44,CO$5:CO$30))</f>
        <v>3.818878060067465</v>
      </c>
      <c r="CP45" s="74">
        <f t="array" ref="CP45">_xlfn.STDEV.P(IF($E$5:$E$30=$E44,CP$5:CP$30))</f>
        <v>4.3687640715880764</v>
      </c>
      <c r="CQ45" s="74">
        <f t="array" ref="CQ45">_xlfn.STDEV.P(IF($E$5:$E$30=$E44,CQ$5:CQ$30))</f>
        <v>5.6538916496378908</v>
      </c>
      <c r="CR45" s="74">
        <f t="array" ref="CR45">_xlfn.STDEV.P(IF($E$5:$E$30=$E44,CR$5:CR$30))</f>
        <v>6.268873473157214</v>
      </c>
      <c r="CS45" s="74">
        <f t="array" ref="CS45">_xlfn.STDEV.P(IF($E$5:$E$30=$E44,CS$5:CS$30))</f>
        <v>7.8742451254438448</v>
      </c>
      <c r="CT45" s="74">
        <f t="array" ref="CT45">_xlfn.STDEV.P(IF($E$5:$E$30=$E44,CT$5:CT$30))</f>
        <v>9.168778731805272</v>
      </c>
      <c r="CU45" s="74">
        <f t="array" ref="CU45">_xlfn.STDEV.P(IF($E$5:$E$30=$E44,CU$5:CU$30))</f>
        <v>0.94587441675541362</v>
      </c>
      <c r="CV45" s="74">
        <f t="array" ref="CV45">_xlfn.STDEV.P(IF($E$5:$E$30=$E44,CV$5:CV$30))</f>
        <v>0.9468128020362675</v>
      </c>
      <c r="CW45" s="74">
        <f t="array" ref="CW45">_xlfn.STDEV.P(IF($E$5:$E$30=$E44,CW$5:CW$30))</f>
        <v>0.9307305341062917</v>
      </c>
      <c r="CX45" s="74">
        <f t="array" ref="CX45">_xlfn.STDEV.P(IF($E$5:$E$30=$E44,CX$5:CX$30))</f>
        <v>1.4982373184683084</v>
      </c>
      <c r="CY45" s="74">
        <f t="array" ref="CY45">_xlfn.STDEV.P(IF($E$5:$E$30=$E44,CY$5:CY$30))</f>
        <v>1.6430165028674402</v>
      </c>
      <c r="CZ45" s="74">
        <f t="array" ref="CZ45">_xlfn.STDEV.P(IF($E$5:$E$30=$E44,CZ$5:CZ$30))</f>
        <v>1.8525484529416698</v>
      </c>
      <c r="DA45" s="74">
        <f t="array" ref="DA45">_xlfn.STDEV.P(IF($E$5:$E$30=$E44,DA$5:DA$30))</f>
        <v>2.9641536299982887</v>
      </c>
      <c r="DB45" s="74">
        <f t="array" ref="DB45">_xlfn.STDEV.P(IF($E$5:$E$30=$E44,DB$5:DB$30))</f>
        <v>3.2447501837392347</v>
      </c>
      <c r="DC45" s="74">
        <f t="array" ref="DC45">_xlfn.STDEV.P(IF($E$5:$E$30=$E44,DC$5:DC$30))</f>
        <v>3.8442746928344649</v>
      </c>
      <c r="DD45" s="74">
        <f t="array" ref="DD45">_xlfn.STDEV.P(IF($E$5:$E$30=$E44,DD$5:DD$30))</f>
        <v>4.9627364218010355</v>
      </c>
      <c r="DE45" s="74">
        <f t="array" ref="DE45">_xlfn.STDEV.P(IF($E$5:$E$30=$E44,DE$5:DE$30))</f>
        <v>0</v>
      </c>
      <c r="DF45" s="74">
        <f t="array" ref="DF45">_xlfn.STDEV.P(IF($E$5:$E$30=$E44,DF$5:DF$30))</f>
        <v>0</v>
      </c>
      <c r="DG45" s="74">
        <f t="array" ref="DG45">_xlfn.STDEV.P(IF($E$5:$E$30=$E44,DG$5:DG$30))</f>
        <v>0</v>
      </c>
      <c r="DH45" s="74">
        <f t="array" ref="DH45">_xlfn.STDEV.P(IF($E$5:$E$30=$E44,DH$5:DH$30))</f>
        <v>0</v>
      </c>
      <c r="DI45" s="74">
        <f t="array" ref="DI45">_xlfn.STDEV.P(IF($E$5:$E$30=$E44,DI$5:DI$30))</f>
        <v>0</v>
      </c>
      <c r="DJ45" s="74" t="e">
        <f t="array" ref="DJ45">_xlfn.STDEV.P(IF($E$5:$E$30=$E44,DJ$5:DJ$30))</f>
        <v>#DIV/0!</v>
      </c>
      <c r="DK45" s="74" t="e">
        <f t="array" ref="DK45">_xlfn.STDEV.P(IF($E$5:$E$30=$E44,DK$5:DK$30))</f>
        <v>#DIV/0!</v>
      </c>
      <c r="DL45" s="177"/>
      <c r="DM45" s="177"/>
      <c r="DN45" s="177"/>
      <c r="DO45" s="177"/>
    </row>
    <row r="46" spans="1:120" s="162" customFormat="1" ht="14.25" customHeight="1">
      <c r="A46" s="158"/>
      <c r="B46" s="159"/>
      <c r="C46" s="160"/>
      <c r="D46" s="181"/>
      <c r="E46" s="161"/>
      <c r="G46" s="159"/>
      <c r="H46" s="159"/>
      <c r="I46" s="163"/>
      <c r="J46" s="164"/>
      <c r="K46" s="164"/>
      <c r="L46" s="164"/>
      <c r="M46" s="164"/>
      <c r="N46" s="164"/>
      <c r="O46" s="164"/>
      <c r="P46" s="164"/>
      <c r="Q46" s="164"/>
      <c r="R46" s="164"/>
      <c r="S46" s="244"/>
      <c r="T46" s="244"/>
      <c r="U46" s="164"/>
      <c r="V46" s="165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156"/>
      <c r="BR46" s="157"/>
      <c r="BS46" s="157"/>
      <c r="BT46" s="157"/>
      <c r="BU46" s="157"/>
      <c r="BV46" s="157"/>
      <c r="BW46" s="157"/>
      <c r="BX46" s="157"/>
      <c r="BY46" s="157"/>
      <c r="BZ46" s="157"/>
      <c r="CA46" s="157"/>
      <c r="CB46" s="157"/>
      <c r="CC46" s="157"/>
      <c r="CD46" s="157"/>
      <c r="CE46" s="157"/>
      <c r="CF46" s="157"/>
      <c r="CG46" s="157"/>
      <c r="CH46" s="157"/>
      <c r="CI46" s="157"/>
      <c r="CJ46" s="157"/>
      <c r="CK46" s="157"/>
      <c r="CL46" s="157"/>
      <c r="CM46" s="157"/>
      <c r="CN46" s="157"/>
      <c r="CO46" s="157"/>
      <c r="CP46" s="157"/>
      <c r="CQ46" s="157"/>
      <c r="CR46" s="157"/>
      <c r="CS46" s="157"/>
      <c r="CT46" s="157"/>
      <c r="CU46" s="157"/>
      <c r="CV46" s="157"/>
      <c r="CW46" s="157"/>
      <c r="CX46" s="157"/>
      <c r="CY46" s="157"/>
      <c r="CZ46" s="157"/>
      <c r="DA46" s="157"/>
      <c r="DB46" s="157"/>
      <c r="DC46" s="157"/>
      <c r="DD46" s="157"/>
      <c r="DE46" s="157"/>
      <c r="DF46" s="157"/>
      <c r="DG46" s="157"/>
      <c r="DH46" s="157"/>
      <c r="DI46" s="157"/>
      <c r="DJ46" s="157"/>
      <c r="DK46" s="157"/>
      <c r="DL46" s="177"/>
      <c r="DM46" s="177"/>
      <c r="DN46" s="177"/>
      <c r="DO46" s="177"/>
    </row>
    <row r="47" spans="1:120" s="171" customFormat="1" ht="14.25" customHeight="1">
      <c r="A47" s="167"/>
      <c r="B47" s="168"/>
      <c r="C47" s="169"/>
      <c r="D47" s="182"/>
      <c r="E47" s="170"/>
      <c r="G47" s="168"/>
      <c r="H47" s="168"/>
      <c r="I47" s="172"/>
      <c r="J47" s="173"/>
      <c r="K47" s="173"/>
      <c r="L47" s="173"/>
      <c r="M47" s="173"/>
      <c r="N47" s="173"/>
      <c r="O47" s="173"/>
      <c r="P47" s="173"/>
      <c r="Q47" s="173"/>
      <c r="R47" s="173"/>
      <c r="S47" s="244"/>
      <c r="T47" s="244"/>
      <c r="U47" s="173"/>
      <c r="V47" s="174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175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 s="166"/>
      <c r="DA47" s="166"/>
      <c r="DB47" s="166"/>
      <c r="DC47" s="166"/>
      <c r="DD47" s="166"/>
      <c r="DE47" s="166"/>
      <c r="DF47" s="166"/>
      <c r="DG47" s="166"/>
      <c r="DH47" s="166"/>
      <c r="DI47" s="166"/>
      <c r="DJ47" s="166"/>
      <c r="DK47" s="166"/>
      <c r="DL47" s="177"/>
      <c r="DM47" s="177"/>
      <c r="DN47" s="177"/>
      <c r="DO47" s="177"/>
    </row>
    <row r="48" spans="1:120" ht="15">
      <c r="A48" s="113"/>
      <c r="E48" s="118"/>
      <c r="I48" s="52"/>
      <c r="K48" s="57"/>
      <c r="L48" s="57"/>
      <c r="P48" s="57"/>
      <c r="Q48" s="57"/>
      <c r="R48" s="57"/>
      <c r="S48" s="243"/>
      <c r="T48" s="243"/>
      <c r="U48" s="57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DF48" s="44"/>
      <c r="DG48" s="44"/>
      <c r="DH48" s="44"/>
      <c r="DI48" s="44"/>
      <c r="DJ48" s="44"/>
      <c r="DK48" s="44"/>
      <c r="DL48" s="177"/>
      <c r="DM48" s="177"/>
      <c r="DN48" s="177"/>
      <c r="DO48" s="177"/>
    </row>
    <row r="49" spans="1:120" ht="14.25" customHeight="1">
      <c r="A49" s="113"/>
      <c r="E49" s="118" t="str">
        <f>'FIG6 Groups'!C10</f>
        <v>Not Included</v>
      </c>
      <c r="I49" s="118" t="str">
        <f>E49</f>
        <v>Not Included</v>
      </c>
      <c r="J49" s="107">
        <f>AVERAGEIF($E$5:$E$30,$E49,J$5:J$30)</f>
        <v>27.8</v>
      </c>
      <c r="K49" s="107"/>
      <c r="L49" s="107"/>
      <c r="M49" s="107">
        <f>AVERAGEIF($E$5:$E$30,$E49,M$5:M$30)</f>
        <v>108.98446000000001</v>
      </c>
      <c r="N49" s="107">
        <f>AVERAGEIF($E$5:$E$30,$E49,N$5:N$30)</f>
        <v>1089.8445999999999</v>
      </c>
      <c r="O49" s="107">
        <f>AVERAGEIF($E$5:$E$30,$E49,O$5:O$30)</f>
        <v>36.328153333333333</v>
      </c>
      <c r="P49" s="107">
        <f>AVERAGEIF($E$5:$E$30,$E49,P$5:P$30)</f>
        <v>153.5</v>
      </c>
      <c r="Q49" s="107">
        <f>AVERAGEIF($E$5:$E$30,$E49,Q$5:Q$30)</f>
        <v>1.3997603254983781</v>
      </c>
      <c r="R49" s="107">
        <f>AVERAGEIF($E$5:$E$30,$E49,R$5:R$30)</f>
        <v>0.13997603254983781</v>
      </c>
      <c r="S49" s="244"/>
      <c r="T49" s="244" t="e">
        <f>AVERAGEIF($E$5:$E$30,$E49,T$5:T$30)</f>
        <v>#DIV/0!</v>
      </c>
      <c r="U49" s="107" t="e">
        <f>AVERAGEIF($E$5:$E$30,$E49,U$5:U$30)</f>
        <v>#DIV/0!</v>
      </c>
      <c r="V49" s="72" t="s">
        <v>9</v>
      </c>
      <c r="W49" s="78">
        <f>AVERAGEIF($E$5:$E$30,$E49,W$5:W$30)</f>
        <v>82.031040000000004</v>
      </c>
      <c r="X49" s="78">
        <f>AVERAGEIF($E$5:$E$30,$E49,X$5:X$30)</f>
        <v>67</v>
      </c>
      <c r="Y49" s="78">
        <f>AVERAGEIF($E$5:$E$30,$E49,Y$5:Y$30)</f>
        <v>108.98446000000001</v>
      </c>
      <c r="Z49" s="78">
        <f>AVERAGEIF($E$5:$E$30,$E49,Z$5:Z$30)</f>
        <v>165.83632</v>
      </c>
      <c r="AA49" s="78">
        <f>AVERAGEIF($E$5:$E$30,$E49,AA$5:AA$30)</f>
        <v>201.41264000000001</v>
      </c>
      <c r="AB49" s="78">
        <f>AVERAGEIF($E$5:$E$30,$E49,AB$5:AB$30)</f>
        <v>177.46560000000002</v>
      </c>
      <c r="AC49" s="78">
        <f>AVERAGEIF($E$5:$E$30,$E49,AC$5:AC$30)</f>
        <v>118.88838000000001</v>
      </c>
      <c r="AD49" s="78">
        <f>AVERAGEIF($E$5:$E$30,$E49,AD$5:AD$30)</f>
        <v>154.78736000000001</v>
      </c>
      <c r="AE49" s="78">
        <f>AVERAGEIF($E$5:$E$30,$E49,AE$5:AE$30)</f>
        <v>196.32365999999999</v>
      </c>
      <c r="AF49" s="78">
        <f>AVERAGEIF($E$5:$E$30,$E49,AF$5:AF$30)</f>
        <v>196.72250000000003</v>
      </c>
      <c r="AG49" s="78">
        <f>AVERAGEIF($E$5:$E$30,$E49,AG$5:AG$30)</f>
        <v>239.39318</v>
      </c>
      <c r="AH49" s="78">
        <f>AVERAGEIF($E$5:$E$30,$E49,AH$5:AH$30)</f>
        <v>475.24515999999994</v>
      </c>
      <c r="AI49" s="78" t="e">
        <f>AVERAGEIF($E$5:$E$30,$E49,AI$5:AI$30)</f>
        <v>#DIV/0!</v>
      </c>
      <c r="AJ49" s="78" t="e">
        <f>AVERAGEIF($E$5:$E$30,$E49,AJ$5:AJ$30)</f>
        <v>#DIV/0!</v>
      </c>
      <c r="AK49" s="78" t="e">
        <f>AVERAGEIF($E$5:$E$30,$E49,AK$5:AK$30)</f>
        <v>#DIV/0!</v>
      </c>
      <c r="AL49" s="78" t="e">
        <f>AVERAGEIF($E$5:$E$30,$E49,AL$5:AL$30)</f>
        <v>#DIV/0!</v>
      </c>
      <c r="AM49" s="78" t="e">
        <f>AVERAGEIF($E$5:$E$30,$E49,AM$5:AM$30)</f>
        <v>#DIV/0!</v>
      </c>
      <c r="AN49" s="78" t="e">
        <f>AVERAGEIF($E$5:$E$30,$E49,AN$5:AN$30)</f>
        <v>#DIV/0!</v>
      </c>
      <c r="AO49" s="78" t="e">
        <f>AVERAGEIF($E$5:$E$30,$E49,AO$5:AO$30)</f>
        <v>#DIV/0!</v>
      </c>
      <c r="AP49" s="78" t="e">
        <f>AVERAGEIF($E$5:$E$30,$E49,AP$5:AP$30)</f>
        <v>#DIV/0!</v>
      </c>
      <c r="AQ49" s="78" t="e">
        <f>AVERAGEIF($E$5:$E$30,$E49,AQ$5:AQ$30)</f>
        <v>#DIV/0!</v>
      </c>
      <c r="AR49" s="78" t="e">
        <f>AVERAGEIF($E$5:$E$30,$E49,AR$5:AR$30)</f>
        <v>#DIV/0!</v>
      </c>
      <c r="AS49" s="78" t="e">
        <f>AVERAGEIF($E$5:$E$30,$E49,AS$5:AS$30)</f>
        <v>#DIV/0!</v>
      </c>
      <c r="AT49" s="78" t="e">
        <f>AVERAGEIF($E$5:$E$30,$E49,AT$5:AT$30)</f>
        <v>#DIV/0!</v>
      </c>
      <c r="AU49" s="78" t="e">
        <f>AVERAGEIF($E$5:$E$30,$E49,AU$5:AU$30)</f>
        <v>#DIV/0!</v>
      </c>
      <c r="AV49" s="78" t="e">
        <f>AVERAGEIF($E$5:$E$30,$E49,AV$5:AV$30)</f>
        <v>#DIV/0!</v>
      </c>
      <c r="AW49" s="78" t="e">
        <f>AVERAGEIF($E$5:$E$30,$E49,AW$5:AW$30)</f>
        <v>#DIV/0!</v>
      </c>
      <c r="AX49" s="78" t="e">
        <f>AVERAGEIF($E$5:$E$30,$E49,AX$5:AX$30)</f>
        <v>#DIV/0!</v>
      </c>
      <c r="AY49" s="78" t="e">
        <f>AVERAGEIF($E$5:$E$30,$E49,AY$5:AY$30)</f>
        <v>#DIV/0!</v>
      </c>
      <c r="AZ49" s="78" t="e">
        <f>AVERAGEIF($E$5:$E$30,$E49,AZ$5:AZ$30)</f>
        <v>#DIV/0!</v>
      </c>
      <c r="BA49" s="78" t="e">
        <f>AVERAGEIF($E$5:$E$30,$E49,BA$5:BA$30)</f>
        <v>#DIV/0!</v>
      </c>
      <c r="BB49" s="78" t="e">
        <f>AVERAGEIF($E$5:$E$30,$E49,BB$5:BB$30)</f>
        <v>#DIV/0!</v>
      </c>
      <c r="BC49" s="78" t="e">
        <f>AVERAGEIF($E$5:$E$30,$E49,BC$5:BC$30)</f>
        <v>#DIV/0!</v>
      </c>
      <c r="BD49" s="78" t="e">
        <f>AVERAGEIF($E$5:$E$30,$E49,BD$5:BD$30)</f>
        <v>#DIV/0!</v>
      </c>
      <c r="BE49" s="78" t="e">
        <f>AVERAGEIF($E$5:$E$30,$E49,BE$5:BE$30)</f>
        <v>#DIV/0!</v>
      </c>
      <c r="BF49" s="78" t="e">
        <f>AVERAGEIF($E$5:$E$30,$E49,BF$5:BF$30)</f>
        <v>#DIV/0!</v>
      </c>
      <c r="BG49" s="78" t="e">
        <f>AVERAGEIF($E$5:$E$30,$E49,BG$5:BG$30)</f>
        <v>#DIV/0!</v>
      </c>
      <c r="BH49" s="78" t="e">
        <f>AVERAGEIF($E$5:$E$30,$E49,BH$5:BH$30)</f>
        <v>#DIV/0!</v>
      </c>
      <c r="BI49" s="78" t="e">
        <f>AVERAGEIF($E$5:$E$30,$E49,BI$5:BI$30)</f>
        <v>#DIV/0!</v>
      </c>
      <c r="BJ49" s="78" t="e">
        <f>AVERAGEIF($E$5:$E$30,$E49,BJ$5:BJ$30)</f>
        <v>#DIV/0!</v>
      </c>
      <c r="BK49" s="78" t="e">
        <f>AVERAGEIF($E$5:$E$30,$E49,BK$5:BK$30)</f>
        <v>#DIV/0!</v>
      </c>
      <c r="BL49" s="78" t="e">
        <f>AVERAGEIF($E$5:$E$30,$E49,BL$5:BL$30)</f>
        <v>#DIV/0!</v>
      </c>
      <c r="BM49" s="78" t="e">
        <f>AVERAGEIF($E$5:$E$30,$E49,BM$5:BM$30)</f>
        <v>#DIV/0!</v>
      </c>
      <c r="BN49" s="78" t="e">
        <f>AVERAGEIF($E$5:$E$30,$E49,BN$5:BN$30)</f>
        <v>#DIV/0!</v>
      </c>
      <c r="BO49" s="78" t="e">
        <f>AVERAGEIF($E$5:$E$30,$E49,BO$5:BO$30)</f>
        <v>#DIV/0!</v>
      </c>
      <c r="BP49" s="78" t="e">
        <f>AVERAGEIF($E$5:$E$30,$E49,BP$5:BP$30)</f>
        <v>#DIV/0!</v>
      </c>
      <c r="BQ49" s="103" t="s">
        <v>9</v>
      </c>
      <c r="BR49" s="73">
        <f>AVERAGEIF($E$5:$E$30,$E49,BR$5:BR$30)</f>
        <v>0.75538336328357525</v>
      </c>
      <c r="BS49" s="73">
        <f>AVERAGEIF($E$5:$E$30,$E49,BS$5:BS$30)</f>
        <v>0.61918886692682618</v>
      </c>
      <c r="BT49" s="73">
        <f>AVERAGEIF($E$5:$E$30,$E49,BT$5:BT$30)</f>
        <v>1</v>
      </c>
      <c r="BU49" s="73">
        <f>AVERAGEIF($E$5:$E$30,$E49,BU$5:BU$30)</f>
        <v>1.5154149107889001</v>
      </c>
      <c r="BV49" s="73">
        <f>AVERAGEIF($E$5:$E$30,$E49,BV$5:BV$30)</f>
        <v>1.8413785370170004</v>
      </c>
      <c r="BW49" s="73">
        <f>AVERAGEIF($E$5:$E$30,$E49,BW$5:BW$30)</f>
        <v>1.6302575696195563</v>
      </c>
      <c r="BX49" s="73">
        <f>AVERAGEIF($E$5:$E$30,$E49,BX$5:BX$30)</f>
        <v>1.094823884652611</v>
      </c>
      <c r="BY49" s="73">
        <f>AVERAGEIF($E$5:$E$30,$E49,BY$5:BY$30)</f>
        <v>1.4183908646147545</v>
      </c>
      <c r="BZ49" s="73">
        <f>AVERAGEIF($E$5:$E$30,$E49,BZ$5:BZ$30)</f>
        <v>1.8034563037852021</v>
      </c>
      <c r="CA49" s="73">
        <f>AVERAGEIF($E$5:$E$30,$E49,CA$5:CA$30)</f>
        <v>1.8117184940165574</v>
      </c>
      <c r="CB49" s="73">
        <f>AVERAGEIF($E$5:$E$30,$E49,CB$5:CB$30)</f>
        <v>2.1936899097905922</v>
      </c>
      <c r="CC49" s="73">
        <f>AVERAGEIF($E$5:$E$30,$E49,CC$5:CC$30)</f>
        <v>4.3418246366339552</v>
      </c>
      <c r="CD49" s="73" t="e">
        <f>AVERAGEIF($E$5:$E$30,$E49,CD$5:CD$30)</f>
        <v>#DIV/0!</v>
      </c>
      <c r="CE49" s="73" t="e">
        <f>AVERAGEIF($E$5:$E$30,$E49,CE$5:CE$30)</f>
        <v>#DIV/0!</v>
      </c>
      <c r="CF49" s="73" t="e">
        <f>AVERAGEIF($E$5:$E$30,$E49,CF$5:CF$30)</f>
        <v>#DIV/0!</v>
      </c>
      <c r="CG49" s="73" t="e">
        <f>AVERAGEIF($E$5:$E$30,$E49,CG$5:CG$30)</f>
        <v>#DIV/0!</v>
      </c>
      <c r="CH49" s="73" t="e">
        <f>AVERAGEIF($E$5:$E$30,$E49,CH$5:CH$30)</f>
        <v>#DIV/0!</v>
      </c>
      <c r="CI49" s="73" t="e">
        <f>AVERAGEIF($E$5:$E$30,$E49,CI$5:CI$30)</f>
        <v>#DIV/0!</v>
      </c>
      <c r="CJ49" s="73" t="e">
        <f>AVERAGEIF($E$5:$E$30,$E49,CJ$5:CJ$30)</f>
        <v>#DIV/0!</v>
      </c>
      <c r="CK49" s="73" t="e">
        <f>AVERAGEIF($E$5:$E$30,$E49,CK$5:CK$30)</f>
        <v>#DIV/0!</v>
      </c>
      <c r="CL49" s="73" t="e">
        <f>AVERAGEIF($E$5:$E$30,$E49,CL$5:CL$30)</f>
        <v>#DIV/0!</v>
      </c>
      <c r="CM49" s="73" t="e">
        <f>AVERAGEIF($E$5:$E$30,$E49,CM$5:CM$30)</f>
        <v>#DIV/0!</v>
      </c>
      <c r="CN49" s="73" t="e">
        <f>AVERAGEIF($E$5:$E$30,$E49,CN$5:CN$30)</f>
        <v>#DIV/0!</v>
      </c>
      <c r="CO49" s="73" t="e">
        <f>AVERAGEIF($E$5:$E$30,$E49,CO$5:CO$30)</f>
        <v>#DIV/0!</v>
      </c>
      <c r="CP49" s="73" t="e">
        <f>AVERAGEIF($E$5:$E$30,$E49,CP$5:CP$30)</f>
        <v>#DIV/0!</v>
      </c>
      <c r="CQ49" s="73" t="e">
        <f>AVERAGEIF($E$5:$E$30,$E49,CQ$5:CQ$30)</f>
        <v>#DIV/0!</v>
      </c>
      <c r="CR49" s="73" t="e">
        <f>AVERAGEIF($E$5:$E$30,$E49,CR$5:CR$30)</f>
        <v>#DIV/0!</v>
      </c>
      <c r="CS49" s="73" t="e">
        <f>AVERAGEIF($E$5:$E$30,$E49,CS$5:CS$30)</f>
        <v>#DIV/0!</v>
      </c>
      <c r="CT49" s="73" t="e">
        <f>AVERAGEIF($E$5:$E$30,$E49,CT$5:CT$30)</f>
        <v>#DIV/0!</v>
      </c>
      <c r="CU49" s="73" t="e">
        <f>AVERAGEIF($E$5:$E$30,$E49,CU$5:CU$30)</f>
        <v>#DIV/0!</v>
      </c>
      <c r="CV49" s="73" t="e">
        <f>AVERAGEIF($E$5:$E$30,$E49,CV$5:CV$30)</f>
        <v>#DIV/0!</v>
      </c>
      <c r="CW49" s="73" t="e">
        <f>AVERAGEIF($E$5:$E$30,$E49,CW$5:CW$30)</f>
        <v>#DIV/0!</v>
      </c>
      <c r="CX49" s="73" t="e">
        <f>AVERAGEIF($E$5:$E$30,$E49,CX$5:CX$30)</f>
        <v>#DIV/0!</v>
      </c>
      <c r="CY49" s="73" t="e">
        <f>AVERAGEIF($E$5:$E$30,$E49,CY$5:CY$30)</f>
        <v>#DIV/0!</v>
      </c>
      <c r="CZ49" s="73" t="e">
        <f>AVERAGEIF($E$5:$E$30,$E49,CZ$5:CZ$30)</f>
        <v>#DIV/0!</v>
      </c>
      <c r="DA49" s="73" t="e">
        <f>AVERAGEIF($E$5:$E$30,$E49,DA$5:DA$30)</f>
        <v>#DIV/0!</v>
      </c>
      <c r="DB49" s="73" t="e">
        <f>AVERAGEIF($E$5:$E$30,$E49,DB$5:DB$30)</f>
        <v>#DIV/0!</v>
      </c>
      <c r="DC49" s="73" t="e">
        <f>AVERAGEIF($E$5:$E$30,$E49,DC$5:DC$30)</f>
        <v>#DIV/0!</v>
      </c>
      <c r="DD49" s="73" t="e">
        <f>AVERAGEIF($E$5:$E$30,$E49,DD$5:DD$30)</f>
        <v>#DIV/0!</v>
      </c>
      <c r="DE49" s="73" t="e">
        <f>AVERAGEIF($E$5:$E$30,$E49,DE$5:DE$30)</f>
        <v>#DIV/0!</v>
      </c>
      <c r="DF49" s="73" t="e">
        <f>AVERAGEIF($E$5:$E$30,$E49,DF$5:DF$30)</f>
        <v>#DIV/0!</v>
      </c>
      <c r="DG49" s="73" t="e">
        <f>AVERAGEIF($E$5:$E$30,$E49,DG$5:DG$30)</f>
        <v>#DIV/0!</v>
      </c>
      <c r="DH49" s="73" t="e">
        <f>AVERAGEIF($E$5:$E$30,$E49,DH$5:DH$30)</f>
        <v>#DIV/0!</v>
      </c>
      <c r="DI49" s="73" t="e">
        <f>AVERAGEIF($E$5:$E$30,$E49,DI$5:DI$30)</f>
        <v>#DIV/0!</v>
      </c>
      <c r="DJ49" s="73" t="e">
        <f>AVERAGEIF($E$5:$E$30,$E49,DJ$5:DJ$30)</f>
        <v>#DIV/0!</v>
      </c>
      <c r="DK49" s="73" t="e">
        <f>AVERAGEIF($E$5:$E$30,$E49,DK$5:DK$30)</f>
        <v>#DIV/0!</v>
      </c>
      <c r="DL49" s="177" t="e">
        <f>#REF!</f>
        <v>#REF!</v>
      </c>
      <c r="DM49" s="177" t="e">
        <f>#REF!</f>
        <v>#REF!</v>
      </c>
      <c r="DN49" s="177" t="e">
        <f>#REF!</f>
        <v>#REF!</v>
      </c>
      <c r="DO49" s="177" t="e">
        <f>#REF!</f>
        <v>#REF!</v>
      </c>
      <c r="DP49" s="162" t="e">
        <f>#REF!</f>
        <v>#REF!</v>
      </c>
    </row>
    <row r="50" spans="1:120" ht="14.25" customHeight="1">
      <c r="A50" s="113"/>
      <c r="E50" s="118"/>
      <c r="I50" s="93"/>
      <c r="J50" s="107">
        <f t="array" ref="J50">_xlfn.STDEV.P(IF($E$5:$E$30=$E49,J$5:J$30))</f>
        <v>0</v>
      </c>
      <c r="K50" s="107"/>
      <c r="L50" s="107"/>
      <c r="M50" s="107">
        <f t="array" ref="M50">_xlfn.STDEV.P(IF($E$5:$E$30=$E49,M$5:M$30))</f>
        <v>3.4879000000000033</v>
      </c>
      <c r="N50" s="107">
        <f t="array" ref="N50">_xlfn.STDEV.P(IF($E$5:$E$30=$E49,N$5:N$30))</f>
        <v>34.879000000000019</v>
      </c>
      <c r="O50" s="107">
        <f t="array" ref="O50">_xlfn.STDEV.P(IF($E$5:$E$30=$E49,O$5:O$30))</f>
        <v>1.1626333333333356</v>
      </c>
      <c r="P50" s="107">
        <f t="array" ref="P50">_xlfn.STDEV.P(IF($E$5:$E$30=$E49,P$5:P$30))</f>
        <v>34.5</v>
      </c>
      <c r="Q50" s="107">
        <f t="array" ref="Q50">_xlfn.STDEV.P(IF($E$5:$E$30=$E49,Q$5:Q$30))</f>
        <v>0.27176145994295142</v>
      </c>
      <c r="R50" s="107">
        <f t="array" ref="R50">_xlfn.STDEV.P(IF($E$5:$E$30=$E49,R$5:R$30))</f>
        <v>2.7176145994295194E-2</v>
      </c>
      <c r="S50" s="244"/>
      <c r="T50" s="244">
        <f t="array" ref="T50">_xlfn.STDEV.P(IF($E$5:$E$30=$E49,T$5:T$30))</f>
        <v>0</v>
      </c>
      <c r="U50" s="107">
        <f t="array" ref="U50">_xlfn.STDEV.P(IF($E$5:$E$30=$E49,U$5:U$30))</f>
        <v>0</v>
      </c>
      <c r="V50" s="72" t="s">
        <v>11</v>
      </c>
      <c r="W50" s="81">
        <f t="array" ref="W50">_xlfn.STDEV.P(IF($E$5:$E$30=$E49,W$5:W$30))</f>
        <v>6.5520000000000067</v>
      </c>
      <c r="X50" s="81">
        <f t="array" ref="X50">_xlfn.STDEV.P(IF($E$5:$E$30=$E49,X$5:X$30))</f>
        <v>12.900000000000029</v>
      </c>
      <c r="Y50" s="81">
        <f t="array" ref="Y50">_xlfn.STDEV.P(IF($E$5:$E$30=$E49,Y$5:Y$30))</f>
        <v>3.4879000000000033</v>
      </c>
      <c r="Z50" s="81">
        <f t="array" ref="Z50">_xlfn.STDEV.P(IF($E$5:$E$30=$E49,Z$5:Z$30))</f>
        <v>26.522079999999963</v>
      </c>
      <c r="AA50" s="81">
        <f t="array" ref="AA50">_xlfn.STDEV.P(IF($E$5:$E$30=$E49,AA$5:AA$30))</f>
        <v>29.263520000000081</v>
      </c>
      <c r="AB50" s="81">
        <f t="array" ref="AB50">_xlfn.STDEV.P(IF($E$5:$E$30=$E49,AB$5:AB$30))</f>
        <v>0.7862400000000207</v>
      </c>
      <c r="AC50" s="81">
        <f t="array" ref="AC50">_xlfn.STDEV.P(IF($E$5:$E$30=$E49,AC$5:AC$30))</f>
        <v>9.6301400000000186</v>
      </c>
      <c r="AD50" s="81">
        <f t="array" ref="AD50">_xlfn.STDEV.P(IF($E$5:$E$30=$E49,AD$5:AD$30))</f>
        <v>11.346400000000017</v>
      </c>
      <c r="AE50" s="81">
        <f t="array" ref="AE50">_xlfn.STDEV.P(IF($E$5:$E$30=$E49,AE$5:AE$30))</f>
        <v>0.74177999999997724</v>
      </c>
      <c r="AF50" s="81">
        <f t="array" ref="AF50">_xlfn.STDEV.P(IF($E$5:$E$30=$E49,AF$5:AF$30))</f>
        <v>16.386499999999998</v>
      </c>
      <c r="AG50" s="81">
        <f t="array" ref="AG50">_xlfn.STDEV.P(IF($E$5:$E$30=$E49,AG$5:AG$30))</f>
        <v>17.49618000000001</v>
      </c>
      <c r="AH50" s="81">
        <f t="array" ref="AH50">_xlfn.STDEV.P(IF($E$5:$E$30=$E49,AH$5:AH$30))</f>
        <v>79.316120000000041</v>
      </c>
      <c r="AI50" s="81">
        <f t="array" ref="AI50">_xlfn.STDEV.P(IF($E$5:$E$30=$E49,AI$5:AI$30))</f>
        <v>0</v>
      </c>
      <c r="AJ50" s="81">
        <f t="array" ref="AJ50">_xlfn.STDEV.P(IF($E$5:$E$30=$E49,AJ$5:AJ$30))</f>
        <v>0</v>
      </c>
      <c r="AK50" s="81">
        <f t="array" ref="AK50">_xlfn.STDEV.P(IF($E$5:$E$30=$E49,AK$5:AK$30))</f>
        <v>0</v>
      </c>
      <c r="AL50" s="81">
        <f t="array" ref="AL50">_xlfn.STDEV.P(IF($E$5:$E$30=$E49,AL$5:AL$30))</f>
        <v>0</v>
      </c>
      <c r="AM50" s="81">
        <f t="array" ref="AM50">_xlfn.STDEV.P(IF($E$5:$E$30=$E49,AM$5:AM$30))</f>
        <v>0</v>
      </c>
      <c r="AN50" s="81">
        <f t="array" ref="AN50">_xlfn.STDEV.P(IF($E$5:$E$30=$E49,AN$5:AN$30))</f>
        <v>0</v>
      </c>
      <c r="AO50" s="81">
        <f t="array" ref="AO50">_xlfn.STDEV.P(IF($E$5:$E$30=$E49,AO$5:AO$30))</f>
        <v>0</v>
      </c>
      <c r="AP50" s="81">
        <f t="array" ref="AP50">_xlfn.STDEV.P(IF($E$5:$E$30=$E49,AP$5:AP$30))</f>
        <v>0</v>
      </c>
      <c r="AQ50" s="81">
        <f t="array" ref="AQ50">_xlfn.STDEV.P(IF($E$5:$E$30=$E49,AQ$5:AQ$30))</f>
        <v>0</v>
      </c>
      <c r="AR50" s="81">
        <f t="array" ref="AR50">_xlfn.STDEV.P(IF($E$5:$E$30=$E49,AR$5:AR$30))</f>
        <v>0</v>
      </c>
      <c r="AS50" s="81">
        <f t="array" ref="AS50">_xlfn.STDEV.P(IF($E$5:$E$30=$E49,AS$5:AS$30))</f>
        <v>0</v>
      </c>
      <c r="AT50" s="81">
        <f t="array" ref="AT50">_xlfn.STDEV.P(IF($E$5:$E$30=$E49,AT$5:AT$30))</f>
        <v>0</v>
      </c>
      <c r="AU50" s="81">
        <f t="array" ref="AU50">_xlfn.STDEV.P(IF($E$5:$E$30=$E49,AU$5:AU$30))</f>
        <v>0</v>
      </c>
      <c r="AV50" s="81">
        <f t="array" ref="AV50">_xlfn.STDEV.P(IF($E$5:$E$30=$E49,AV$5:AV$30))</f>
        <v>0</v>
      </c>
      <c r="AW50" s="81">
        <f t="array" ref="AW50">_xlfn.STDEV.P(IF($E$5:$E$30=$E49,AW$5:AW$30))</f>
        <v>0</v>
      </c>
      <c r="AX50" s="81">
        <f t="array" ref="AX50">_xlfn.STDEV.P(IF($E$5:$E$30=$E49,AX$5:AX$30))</f>
        <v>0</v>
      </c>
      <c r="AY50" s="81">
        <f t="array" ref="AY50">_xlfn.STDEV.P(IF($E$5:$E$30=$E49,AY$5:AY$30))</f>
        <v>0</v>
      </c>
      <c r="AZ50" s="81">
        <f t="array" ref="AZ50">_xlfn.STDEV.P(IF($E$5:$E$30=$E49,AZ$5:AZ$30))</f>
        <v>0</v>
      </c>
      <c r="BA50" s="81">
        <f t="array" ref="BA50">_xlfn.STDEV.P(IF($E$5:$E$30=$E49,BA$5:BA$30))</f>
        <v>0</v>
      </c>
      <c r="BB50" s="81">
        <f t="array" ref="BB50">_xlfn.STDEV.P(IF($E$5:$E$30=$E49,BB$5:BB$30))</f>
        <v>0</v>
      </c>
      <c r="BC50" s="81">
        <f t="array" ref="BC50">_xlfn.STDEV.P(IF($E$5:$E$30=$E49,BC$5:BC$30))</f>
        <v>0</v>
      </c>
      <c r="BD50" s="81">
        <f t="array" ref="BD50">_xlfn.STDEV.P(IF($E$5:$E$30=$E49,BD$5:BD$30))</f>
        <v>0</v>
      </c>
      <c r="BE50" s="81">
        <f t="array" ref="BE50">_xlfn.STDEV.P(IF($E$5:$E$30=$E49,BE$5:BE$30))</f>
        <v>0</v>
      </c>
      <c r="BF50" s="81">
        <f t="array" ref="BF50">_xlfn.STDEV.P(IF($E$5:$E$30=$E49,BF$5:BF$30))</f>
        <v>0</v>
      </c>
      <c r="BG50" s="81">
        <f t="array" ref="BG50">_xlfn.STDEV.P(IF($E$5:$E$30=$E49,BG$5:BG$30))</f>
        <v>0</v>
      </c>
      <c r="BH50" s="81">
        <f t="array" ref="BH50">_xlfn.STDEV.P(IF($E$5:$E$30=$E49,BH$5:BH$30))</f>
        <v>0</v>
      </c>
      <c r="BI50" s="81">
        <f t="array" ref="BI50">_xlfn.STDEV.P(IF($E$5:$E$30=$E49,BI$5:BI$30))</f>
        <v>0</v>
      </c>
      <c r="BJ50" s="81">
        <f t="array" ref="BJ50">_xlfn.STDEV.P(IF($E$5:$E$30=$E49,BJ$5:BJ$30))</f>
        <v>0</v>
      </c>
      <c r="BK50" s="81">
        <f t="array" ref="BK50">_xlfn.STDEV.P(IF($E$5:$E$30=$E49,BK$5:BK$30))</f>
        <v>0</v>
      </c>
      <c r="BL50" s="81">
        <f t="array" ref="BL50">_xlfn.STDEV.P(IF($E$5:$E$30=$E49,BL$5:BL$30))</f>
        <v>0</v>
      </c>
      <c r="BM50" s="81">
        <f t="array" ref="BM50">_xlfn.STDEV.P(IF($E$5:$E$30=$E49,BM$5:BM$30))</f>
        <v>0</v>
      </c>
      <c r="BN50" s="81">
        <f t="array" ref="BN50">_xlfn.STDEV.P(IF($E$5:$E$30=$E49,BN$5:BN$30))</f>
        <v>0</v>
      </c>
      <c r="BO50" s="81">
        <f t="array" ref="BO50">_xlfn.STDEV.P(IF($E$5:$E$30=$E49,BO$5:BO$30))</f>
        <v>0</v>
      </c>
      <c r="BP50" s="81">
        <f t="array" ref="BP50">_xlfn.STDEV.P(IF($E$5:$E$30=$E49,BP$5:BP$30))</f>
        <v>0</v>
      </c>
      <c r="BQ50" s="104" t="s">
        <v>11</v>
      </c>
      <c r="BR50" s="74">
        <f t="array" ref="BR50">_xlfn.STDEV.P(IF($E$5:$E$30=$E49,BR$5:BR$30))</f>
        <v>8.4293684005928807E-2</v>
      </c>
      <c r="BS50" s="74">
        <f t="array" ref="BS50">_xlfn.STDEV.P(IF($E$5:$E$30=$E49,BS$5:BS$30))</f>
        <v>0.13818179994610308</v>
      </c>
      <c r="BT50" s="74">
        <f t="array" ref="BT50">_xlfn.STDEV.P(IF($E$5:$E$30=$E49,BT$5:BT$30))</f>
        <v>0</v>
      </c>
      <c r="BU50" s="74">
        <f t="array" ref="BU50">_xlfn.STDEV.P(IF($E$5:$E$30=$E49,BU$5:BU$30))</f>
        <v>0.19485772864002204</v>
      </c>
      <c r="BV50" s="74">
        <f t="array" ref="BV50">_xlfn.STDEV.P(IF($E$5:$E$30=$E49,BV$5:BV$30))</f>
        <v>0.20958011629124151</v>
      </c>
      <c r="BW50" s="74">
        <f t="array" ref="BW50">_xlfn.STDEV.P(IF($E$5:$E$30=$E49,BW$5:BW$30))</f>
        <v>5.9388424524708272E-2</v>
      </c>
      <c r="BX50" s="74">
        <f t="array" ref="BX50">_xlfn.STDEV.P(IF($E$5:$E$30=$E49,BX$5:BX$30))</f>
        <v>0.12340086125379703</v>
      </c>
      <c r="BY50" s="74">
        <f t="array" ref="BY50">_xlfn.STDEV.P(IF($E$5:$E$30=$E49,BY$5:BY$30))</f>
        <v>5.8716577604827402E-2</v>
      </c>
      <c r="BZ50" s="74">
        <f t="array" ref="BZ50">_xlfn.STDEV.P(IF($E$5:$E$30=$E49,BZ$5:BZ$30))</f>
        <v>6.4523467308755689E-2</v>
      </c>
      <c r="CA50" s="74">
        <f t="array" ref="CA50">_xlfn.STDEV.P(IF($E$5:$E$30=$E49,CA$5:CA$30))</f>
        <v>0.20833789455194224</v>
      </c>
      <c r="CB50" s="74">
        <f t="array" ref="CB50">_xlfn.STDEV.P(IF($E$5:$E$30=$E49,CB$5:CB$30))</f>
        <v>9.0332226848133912E-2</v>
      </c>
      <c r="CC50" s="74">
        <f t="array" ref="CC50">_xlfn.STDEV.P(IF($E$5:$E$30=$E49,CC$5:CC$30))</f>
        <v>0.58882036805875038</v>
      </c>
      <c r="CD50" s="74" t="e">
        <f t="array" ref="CD50">_xlfn.STDEV.P(IF($E$5:$E$30=$E49,CD$5:CD$30))</f>
        <v>#DIV/0!</v>
      </c>
      <c r="CE50" s="74" t="e">
        <f t="array" ref="CE50">_xlfn.STDEV.P(IF($E$5:$E$30=$E49,CE$5:CE$30))</f>
        <v>#DIV/0!</v>
      </c>
      <c r="CF50" s="74" t="e">
        <f t="array" ref="CF50">_xlfn.STDEV.P(IF($E$5:$E$30=$E49,CF$5:CF$30))</f>
        <v>#DIV/0!</v>
      </c>
      <c r="CG50" s="74" t="e">
        <f t="array" ref="CG50">_xlfn.STDEV.P(IF($E$5:$E$30=$E49,CG$5:CG$30))</f>
        <v>#DIV/0!</v>
      </c>
      <c r="CH50" s="74" t="e">
        <f t="array" ref="CH50">_xlfn.STDEV.P(IF($E$5:$E$30=$E49,CH$5:CH$30))</f>
        <v>#DIV/0!</v>
      </c>
      <c r="CI50" s="74" t="e">
        <f t="array" ref="CI50">_xlfn.STDEV.P(IF($E$5:$E$30=$E49,CI$5:CI$30))</f>
        <v>#DIV/0!</v>
      </c>
      <c r="CJ50" s="74" t="e">
        <f t="array" ref="CJ50">_xlfn.STDEV.P(IF($E$5:$E$30=$E49,CJ$5:CJ$30))</f>
        <v>#DIV/0!</v>
      </c>
      <c r="CK50" s="74" t="e">
        <f t="array" ref="CK50">_xlfn.STDEV.P(IF($E$5:$E$30=$E49,CK$5:CK$30))</f>
        <v>#DIV/0!</v>
      </c>
      <c r="CL50" s="74" t="e">
        <f t="array" ref="CL50">_xlfn.STDEV.P(IF($E$5:$E$30=$E49,CL$5:CL$30))</f>
        <v>#DIV/0!</v>
      </c>
      <c r="CM50" s="74" t="e">
        <f t="array" ref="CM50">_xlfn.STDEV.P(IF($E$5:$E$30=$E49,CM$5:CM$30))</f>
        <v>#DIV/0!</v>
      </c>
      <c r="CN50" s="74" t="e">
        <f t="array" ref="CN50">_xlfn.STDEV.P(IF($E$5:$E$30=$E49,CN$5:CN$30))</f>
        <v>#DIV/0!</v>
      </c>
      <c r="CO50" s="74" t="e">
        <f t="array" ref="CO50">_xlfn.STDEV.P(IF($E$5:$E$30=$E49,CO$5:CO$30))</f>
        <v>#DIV/0!</v>
      </c>
      <c r="CP50" s="74" t="e">
        <f t="array" ref="CP50">_xlfn.STDEV.P(IF($E$5:$E$30=$E49,CP$5:CP$30))</f>
        <v>#DIV/0!</v>
      </c>
      <c r="CQ50" s="74" t="e">
        <f t="array" ref="CQ50">_xlfn.STDEV.P(IF($E$5:$E$30=$E49,CQ$5:CQ$30))</f>
        <v>#DIV/0!</v>
      </c>
      <c r="CR50" s="74" t="e">
        <f t="array" ref="CR50">_xlfn.STDEV.P(IF($E$5:$E$30=$E49,CR$5:CR$30))</f>
        <v>#DIV/0!</v>
      </c>
      <c r="CS50" s="74" t="e">
        <f t="array" ref="CS50">_xlfn.STDEV.P(IF($E$5:$E$30=$E49,CS$5:CS$30))</f>
        <v>#DIV/0!</v>
      </c>
      <c r="CT50" s="74" t="e">
        <f t="array" ref="CT50">_xlfn.STDEV.P(IF($E$5:$E$30=$E49,CT$5:CT$30))</f>
        <v>#DIV/0!</v>
      </c>
      <c r="CU50" s="74" t="e">
        <f t="array" ref="CU50">_xlfn.STDEV.P(IF($E$5:$E$30=$E49,CU$5:CU$30))</f>
        <v>#DIV/0!</v>
      </c>
      <c r="CV50" s="74" t="e">
        <f t="array" ref="CV50">_xlfn.STDEV.P(IF($E$5:$E$30=$E49,CV$5:CV$30))</f>
        <v>#DIV/0!</v>
      </c>
      <c r="CW50" s="74" t="e">
        <f t="array" ref="CW50">_xlfn.STDEV.P(IF($E$5:$E$30=$E49,CW$5:CW$30))</f>
        <v>#DIV/0!</v>
      </c>
      <c r="CX50" s="74" t="e">
        <f t="array" ref="CX50">_xlfn.STDEV.P(IF($E$5:$E$30=$E49,CX$5:CX$30))</f>
        <v>#DIV/0!</v>
      </c>
      <c r="CY50" s="74" t="e">
        <f t="array" ref="CY50">_xlfn.STDEV.P(IF($E$5:$E$30=$E49,CY$5:CY$30))</f>
        <v>#DIV/0!</v>
      </c>
      <c r="CZ50" s="74" t="e">
        <f t="array" ref="CZ50">_xlfn.STDEV.P(IF($E$5:$E$30=$E49,CZ$5:CZ$30))</f>
        <v>#DIV/0!</v>
      </c>
      <c r="DA50" s="74" t="e">
        <f t="array" ref="DA50">_xlfn.STDEV.P(IF($E$5:$E$30=$E49,DA$5:DA$30))</f>
        <v>#DIV/0!</v>
      </c>
      <c r="DB50" s="74" t="e">
        <f t="array" ref="DB50">_xlfn.STDEV.P(IF($E$5:$E$30=$E49,DB$5:DB$30))</f>
        <v>#DIV/0!</v>
      </c>
      <c r="DC50" s="74" t="e">
        <f t="array" ref="DC50">_xlfn.STDEV.P(IF($E$5:$E$30=$E49,DC$5:DC$30))</f>
        <v>#DIV/0!</v>
      </c>
      <c r="DD50" s="74" t="e">
        <f t="array" ref="DD50">_xlfn.STDEV.P(IF($E$5:$E$30=$E49,DD$5:DD$30))</f>
        <v>#DIV/0!</v>
      </c>
      <c r="DE50" s="74" t="e">
        <f t="array" ref="DE50">_xlfn.STDEV.P(IF($E$5:$E$30=$E49,DE$5:DE$30))</f>
        <v>#DIV/0!</v>
      </c>
      <c r="DF50" s="74" t="e">
        <f t="array" ref="DF50">_xlfn.STDEV.P(IF($E$5:$E$30=$E49,DF$5:DF$30))</f>
        <v>#DIV/0!</v>
      </c>
      <c r="DG50" s="74" t="e">
        <f t="array" ref="DG50">_xlfn.STDEV.P(IF($E$5:$E$30=$E49,DG$5:DG$30))</f>
        <v>#DIV/0!</v>
      </c>
      <c r="DH50" s="74" t="e">
        <f t="array" ref="DH50">_xlfn.STDEV.P(IF($E$5:$E$30=$E49,DH$5:DH$30))</f>
        <v>#DIV/0!</v>
      </c>
      <c r="DI50" s="74" t="e">
        <f t="array" ref="DI50">_xlfn.STDEV.P(IF($E$5:$E$30=$E49,DI$5:DI$30))</f>
        <v>#DIV/0!</v>
      </c>
      <c r="DJ50" s="74" t="e">
        <f t="array" ref="DJ50">_xlfn.STDEV.P(IF($E$5:$E$30=$E49,DJ$5:DJ$30))</f>
        <v>#DIV/0!</v>
      </c>
      <c r="DK50" s="74" t="e">
        <f t="array" ref="DK50">_xlfn.STDEV.P(IF($E$5:$E$30=$E49,DK$5:DK$30))</f>
        <v>#DIV/0!</v>
      </c>
      <c r="DL50" s="177" t="e">
        <f>#REF!</f>
        <v>#REF!</v>
      </c>
      <c r="DM50" s="177" t="e">
        <f>#REF!</f>
        <v>#REF!</v>
      </c>
      <c r="DN50" s="177" t="e">
        <f>#REF!</f>
        <v>#REF!</v>
      </c>
      <c r="DO50" s="177" t="e">
        <f>#REF!</f>
        <v>#REF!</v>
      </c>
      <c r="DP50" s="162" t="e">
        <f>#REF!</f>
        <v>#REF!</v>
      </c>
    </row>
    <row r="51" spans="1:120" ht="15">
      <c r="A51" s="113"/>
      <c r="E51" s="118"/>
      <c r="I51" s="52"/>
      <c r="K51" s="57"/>
      <c r="L51" s="57"/>
      <c r="P51" s="57"/>
      <c r="Q51" s="57"/>
      <c r="R51" s="57"/>
      <c r="S51" s="243"/>
      <c r="T51" s="243"/>
      <c r="U51" s="57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DF51" s="44"/>
      <c r="DG51" s="44"/>
      <c r="DH51" s="44"/>
      <c r="DI51" s="44"/>
      <c r="DJ51" s="44"/>
      <c r="DK51" s="44"/>
      <c r="DL51" s="177"/>
      <c r="DM51" s="177"/>
      <c r="DN51" s="177"/>
      <c r="DO51" s="177"/>
    </row>
    <row r="52" spans="1:120" ht="14.25" customHeight="1">
      <c r="A52" s="113"/>
      <c r="E52" s="118" t="str">
        <f>'FIG6 Groups'!C11</f>
        <v>Group 6</v>
      </c>
      <c r="I52" s="118" t="str">
        <f>E52</f>
        <v>Group 6</v>
      </c>
      <c r="J52" s="107" t="e">
        <f>AVERAGEIF($E$5:$E$30,$E52,J$5:J$30)</f>
        <v>#DIV/0!</v>
      </c>
      <c r="K52" s="107"/>
      <c r="L52" s="107"/>
      <c r="M52" s="107" t="e">
        <f>AVERAGEIF($E$5:$E$30,$E52,M$5:M$30)</f>
        <v>#DIV/0!</v>
      </c>
      <c r="N52" s="107" t="e">
        <f>AVERAGEIF($E$5:$E$30,$E52,N$5:N$30)</f>
        <v>#DIV/0!</v>
      </c>
      <c r="O52" s="107" t="e">
        <f>AVERAGEIF($E$5:$E$30,$E52,O$5:O$30)</f>
        <v>#DIV/0!</v>
      </c>
      <c r="P52" s="107" t="e">
        <f>AVERAGEIF($E$5:$E$30,$E52,P$5:P$30)</f>
        <v>#DIV/0!</v>
      </c>
      <c r="Q52" s="107" t="e">
        <f>AVERAGEIF($E$5:$E$30,$E52,Q$5:Q$30)</f>
        <v>#DIV/0!</v>
      </c>
      <c r="R52" s="107" t="e">
        <f>AVERAGEIF($E$5:$E$30,$E52,R$5:R$30)</f>
        <v>#DIV/0!</v>
      </c>
      <c r="S52" s="244"/>
      <c r="T52" s="244" t="e">
        <f>AVERAGEIF($E$5:$E$30,$E52,T$5:T$30)</f>
        <v>#DIV/0!</v>
      </c>
      <c r="U52" s="107" t="e">
        <f>AVERAGEIF($E$5:$E$30,$E52,U$5:U$30)</f>
        <v>#DIV/0!</v>
      </c>
      <c r="V52" s="72" t="s">
        <v>9</v>
      </c>
      <c r="W52" s="78" t="e">
        <f>AVERAGEIF($E$5:$E$30,$E52,W$5:W$30)</f>
        <v>#DIV/0!</v>
      </c>
      <c r="X52" s="78" t="e">
        <f>AVERAGEIF($E$5:$E$30,$E52,X$5:X$30)</f>
        <v>#DIV/0!</v>
      </c>
      <c r="Y52" s="78" t="e">
        <f>AVERAGEIF($E$5:$E$30,$E52,Y$5:Y$30)</f>
        <v>#DIV/0!</v>
      </c>
      <c r="Z52" s="78" t="e">
        <f>AVERAGEIF($E$5:$E$30,$E52,Z$5:Z$30)</f>
        <v>#DIV/0!</v>
      </c>
      <c r="AA52" s="78" t="e">
        <f>AVERAGEIF($E$5:$E$30,$E52,AA$5:AA$30)</f>
        <v>#DIV/0!</v>
      </c>
      <c r="AB52" s="78" t="e">
        <f>AVERAGEIF($E$5:$E$30,$E52,AB$5:AB$30)</f>
        <v>#DIV/0!</v>
      </c>
      <c r="AC52" s="78" t="e">
        <f>AVERAGEIF($E$5:$E$30,$E52,AC$5:AC$30)</f>
        <v>#DIV/0!</v>
      </c>
      <c r="AD52" s="78" t="e">
        <f>AVERAGEIF($E$5:$E$30,$E52,AD$5:AD$30)</f>
        <v>#DIV/0!</v>
      </c>
      <c r="AE52" s="78" t="e">
        <f>AVERAGEIF($E$5:$E$30,$E52,AE$5:AE$30)</f>
        <v>#DIV/0!</v>
      </c>
      <c r="AF52" s="78" t="e">
        <f>AVERAGEIF($E$5:$E$30,$E52,AF$5:AF$30)</f>
        <v>#DIV/0!</v>
      </c>
      <c r="AG52" s="78" t="e">
        <f>AVERAGEIF($E$5:$E$30,$E52,AG$5:AG$30)</f>
        <v>#DIV/0!</v>
      </c>
      <c r="AH52" s="78" t="e">
        <f>AVERAGEIF($E$5:$E$30,$E52,AH$5:AH$30)</f>
        <v>#DIV/0!</v>
      </c>
      <c r="AI52" s="78" t="e">
        <f>AVERAGEIF($E$5:$E$30,$E52,AI$5:AI$30)</f>
        <v>#DIV/0!</v>
      </c>
      <c r="AJ52" s="78" t="e">
        <f>AVERAGEIF($E$5:$E$30,$E52,AJ$5:AJ$30)</f>
        <v>#DIV/0!</v>
      </c>
      <c r="AK52" s="78" t="e">
        <f>AVERAGEIF($E$5:$E$30,$E52,AK$5:AK$30)</f>
        <v>#DIV/0!</v>
      </c>
      <c r="AL52" s="78" t="e">
        <f>AVERAGEIF($E$5:$E$30,$E52,AL$5:AL$30)</f>
        <v>#DIV/0!</v>
      </c>
      <c r="AM52" s="78" t="e">
        <f>AVERAGEIF($E$5:$E$30,$E52,AM$5:AM$30)</f>
        <v>#DIV/0!</v>
      </c>
      <c r="AN52" s="78" t="e">
        <f>AVERAGEIF($E$5:$E$30,$E52,AN$5:AN$30)</f>
        <v>#DIV/0!</v>
      </c>
      <c r="AO52" s="78" t="e">
        <f>AVERAGEIF($E$5:$E$30,$E52,AO$5:AO$30)</f>
        <v>#DIV/0!</v>
      </c>
      <c r="AP52" s="78" t="e">
        <f>AVERAGEIF($E$5:$E$30,$E52,AP$5:AP$30)</f>
        <v>#DIV/0!</v>
      </c>
      <c r="AQ52" s="78" t="e">
        <f>AVERAGEIF($E$5:$E$30,$E52,AQ$5:AQ$30)</f>
        <v>#DIV/0!</v>
      </c>
      <c r="AR52" s="78" t="e">
        <f>AVERAGEIF($E$5:$E$30,$E52,AR$5:AR$30)</f>
        <v>#DIV/0!</v>
      </c>
      <c r="AS52" s="78" t="e">
        <f>AVERAGEIF($E$5:$E$30,$E52,AS$5:AS$30)</f>
        <v>#DIV/0!</v>
      </c>
      <c r="AT52" s="78" t="e">
        <f>AVERAGEIF($E$5:$E$30,$E52,AT$5:AT$30)</f>
        <v>#DIV/0!</v>
      </c>
      <c r="AU52" s="78" t="e">
        <f>AVERAGEIF($E$5:$E$30,$E52,AU$5:AU$30)</f>
        <v>#DIV/0!</v>
      </c>
      <c r="AV52" s="78" t="e">
        <f>AVERAGEIF($E$5:$E$30,$E52,AV$5:AV$30)</f>
        <v>#DIV/0!</v>
      </c>
      <c r="AW52" s="78" t="e">
        <f>AVERAGEIF($E$5:$E$30,$E52,AW$5:AW$30)</f>
        <v>#DIV/0!</v>
      </c>
      <c r="AX52" s="78" t="e">
        <f>AVERAGEIF($E$5:$E$30,$E52,AX$5:AX$30)</f>
        <v>#DIV/0!</v>
      </c>
      <c r="AY52" s="78" t="e">
        <f>AVERAGEIF($E$5:$E$30,$E52,AY$5:AY$30)</f>
        <v>#DIV/0!</v>
      </c>
      <c r="AZ52" s="78" t="e">
        <f>AVERAGEIF($E$5:$E$30,$E52,AZ$5:AZ$30)</f>
        <v>#DIV/0!</v>
      </c>
      <c r="BA52" s="78" t="e">
        <f>AVERAGEIF($E$5:$E$30,$E52,BA$5:BA$30)</f>
        <v>#DIV/0!</v>
      </c>
      <c r="BB52" s="78" t="e">
        <f>AVERAGEIF($E$5:$E$30,$E52,BB$5:BB$30)</f>
        <v>#DIV/0!</v>
      </c>
      <c r="BC52" s="78" t="e">
        <f>AVERAGEIF($E$5:$E$30,$E52,BC$5:BC$30)</f>
        <v>#DIV/0!</v>
      </c>
      <c r="BD52" s="78" t="e">
        <f>AVERAGEIF($E$5:$E$30,$E52,BD$5:BD$30)</f>
        <v>#DIV/0!</v>
      </c>
      <c r="BE52" s="78" t="e">
        <f>AVERAGEIF($E$5:$E$30,$E52,BE$5:BE$30)</f>
        <v>#DIV/0!</v>
      </c>
      <c r="BF52" s="78" t="e">
        <f>AVERAGEIF($E$5:$E$30,$E52,BF$5:BF$30)</f>
        <v>#DIV/0!</v>
      </c>
      <c r="BG52" s="78" t="e">
        <f>AVERAGEIF($E$5:$E$30,$E52,BG$5:BG$30)</f>
        <v>#DIV/0!</v>
      </c>
      <c r="BH52" s="78" t="e">
        <f>AVERAGEIF($E$5:$E$30,$E52,BH$5:BH$30)</f>
        <v>#DIV/0!</v>
      </c>
      <c r="BI52" s="78" t="e">
        <f>AVERAGEIF($E$5:$E$30,$E52,BI$5:BI$30)</f>
        <v>#DIV/0!</v>
      </c>
      <c r="BJ52" s="78" t="e">
        <f>AVERAGEIF($E$5:$E$30,$E52,BJ$5:BJ$30)</f>
        <v>#DIV/0!</v>
      </c>
      <c r="BK52" s="78" t="e">
        <f>AVERAGEIF($E$5:$E$30,$E52,BK$5:BK$30)</f>
        <v>#DIV/0!</v>
      </c>
      <c r="BL52" s="78" t="e">
        <f>AVERAGEIF($E$5:$E$30,$E52,BL$5:BL$30)</f>
        <v>#DIV/0!</v>
      </c>
      <c r="BM52" s="78" t="e">
        <f>AVERAGEIF($E$5:$E$30,$E52,BM$5:BM$30)</f>
        <v>#DIV/0!</v>
      </c>
      <c r="BN52" s="78" t="e">
        <f>AVERAGEIF($E$5:$E$30,$E52,BN$5:BN$30)</f>
        <v>#DIV/0!</v>
      </c>
      <c r="BO52" s="78" t="e">
        <f>AVERAGEIF($E$5:$E$30,$E52,BO$5:BO$30)</f>
        <v>#DIV/0!</v>
      </c>
      <c r="BP52" s="78" t="e">
        <f>AVERAGEIF($E$5:$E$30,$E52,BP$5:BP$30)</f>
        <v>#DIV/0!</v>
      </c>
      <c r="BQ52" s="103" t="s">
        <v>9</v>
      </c>
      <c r="BR52" s="73" t="e">
        <f>AVERAGEIF($E$5:$E$30,$E52,BR$5:BR$30)</f>
        <v>#DIV/0!</v>
      </c>
      <c r="BS52" s="73" t="e">
        <f>AVERAGEIF($E$5:$E$30,$E52,BS$5:BS$30)</f>
        <v>#DIV/0!</v>
      </c>
      <c r="BT52" s="73" t="e">
        <f>AVERAGEIF($E$5:$E$30,$E52,BT$5:BT$30)</f>
        <v>#DIV/0!</v>
      </c>
      <c r="BU52" s="73" t="e">
        <f>AVERAGEIF($E$5:$E$30,$E52,BU$5:BU$30)</f>
        <v>#DIV/0!</v>
      </c>
      <c r="BV52" s="73" t="e">
        <f>AVERAGEIF($E$5:$E$30,$E52,BV$5:BV$30)</f>
        <v>#DIV/0!</v>
      </c>
      <c r="BW52" s="73" t="e">
        <f>AVERAGEIF($E$5:$E$30,$E52,BW$5:BW$30)</f>
        <v>#DIV/0!</v>
      </c>
      <c r="BX52" s="73" t="e">
        <f>AVERAGEIF($E$5:$E$30,$E52,BX$5:BX$30)</f>
        <v>#DIV/0!</v>
      </c>
      <c r="BY52" s="73" t="e">
        <f>AVERAGEIF($E$5:$E$30,$E52,BY$5:BY$30)</f>
        <v>#DIV/0!</v>
      </c>
      <c r="BZ52" s="73" t="e">
        <f>AVERAGEIF($E$5:$E$30,$E52,BZ$5:BZ$30)</f>
        <v>#DIV/0!</v>
      </c>
      <c r="CA52" s="73" t="e">
        <f>AVERAGEIF($E$5:$E$30,$E52,CA$5:CA$30)</f>
        <v>#DIV/0!</v>
      </c>
      <c r="CB52" s="73" t="e">
        <f>AVERAGEIF($E$5:$E$30,$E52,CB$5:CB$30)</f>
        <v>#DIV/0!</v>
      </c>
      <c r="CC52" s="73" t="e">
        <f>AVERAGEIF($E$5:$E$30,$E52,CC$5:CC$30)</f>
        <v>#DIV/0!</v>
      </c>
      <c r="CD52" s="73" t="e">
        <f>AVERAGEIF($E$5:$E$30,$E52,CD$5:CD$30)</f>
        <v>#DIV/0!</v>
      </c>
      <c r="CE52" s="73" t="e">
        <f>AVERAGEIF($E$5:$E$30,$E52,CE$5:CE$30)</f>
        <v>#DIV/0!</v>
      </c>
      <c r="CF52" s="73" t="e">
        <f>AVERAGEIF($E$5:$E$30,$E52,CF$5:CF$30)</f>
        <v>#DIV/0!</v>
      </c>
      <c r="CG52" s="73" t="e">
        <f>AVERAGEIF($E$5:$E$30,$E52,CG$5:CG$30)</f>
        <v>#DIV/0!</v>
      </c>
      <c r="CH52" s="73" t="e">
        <f>AVERAGEIF($E$5:$E$30,$E52,CH$5:CH$30)</f>
        <v>#DIV/0!</v>
      </c>
      <c r="CI52" s="73" t="e">
        <f>AVERAGEIF($E$5:$E$30,$E52,CI$5:CI$30)</f>
        <v>#DIV/0!</v>
      </c>
      <c r="CJ52" s="73" t="e">
        <f>AVERAGEIF($E$5:$E$30,$E52,CJ$5:CJ$30)</f>
        <v>#DIV/0!</v>
      </c>
      <c r="CK52" s="73" t="e">
        <f>AVERAGEIF($E$5:$E$30,$E52,CK$5:CK$30)</f>
        <v>#DIV/0!</v>
      </c>
      <c r="CL52" s="73" t="e">
        <f>AVERAGEIF($E$5:$E$30,$E52,CL$5:CL$30)</f>
        <v>#DIV/0!</v>
      </c>
      <c r="CM52" s="73" t="e">
        <f>AVERAGEIF($E$5:$E$30,$E52,CM$5:CM$30)</f>
        <v>#DIV/0!</v>
      </c>
      <c r="CN52" s="73" t="e">
        <f>AVERAGEIF($E$5:$E$30,$E52,CN$5:CN$30)</f>
        <v>#DIV/0!</v>
      </c>
      <c r="CO52" s="73" t="e">
        <f>AVERAGEIF($E$5:$E$30,$E52,CO$5:CO$30)</f>
        <v>#DIV/0!</v>
      </c>
      <c r="CP52" s="73" t="e">
        <f>AVERAGEIF($E$5:$E$30,$E52,CP$5:CP$30)</f>
        <v>#DIV/0!</v>
      </c>
      <c r="CQ52" s="73" t="e">
        <f>AVERAGEIF($E$5:$E$30,$E52,CQ$5:CQ$30)</f>
        <v>#DIV/0!</v>
      </c>
      <c r="CR52" s="73" t="e">
        <f>AVERAGEIF($E$5:$E$30,$E52,CR$5:CR$30)</f>
        <v>#DIV/0!</v>
      </c>
      <c r="CS52" s="73" t="e">
        <f>AVERAGEIF($E$5:$E$30,$E52,CS$5:CS$30)</f>
        <v>#DIV/0!</v>
      </c>
      <c r="CT52" s="73" t="e">
        <f>AVERAGEIF($E$5:$E$30,$E52,CT$5:CT$30)</f>
        <v>#DIV/0!</v>
      </c>
      <c r="CU52" s="73" t="e">
        <f>AVERAGEIF($E$5:$E$30,$E52,CU$5:CU$30)</f>
        <v>#DIV/0!</v>
      </c>
      <c r="CV52" s="73" t="e">
        <f>AVERAGEIF($E$5:$E$30,$E52,CV$5:CV$30)</f>
        <v>#DIV/0!</v>
      </c>
      <c r="CW52" s="73" t="e">
        <f>AVERAGEIF($E$5:$E$30,$E52,CW$5:CW$30)</f>
        <v>#DIV/0!</v>
      </c>
      <c r="CX52" s="73" t="e">
        <f>AVERAGEIF($E$5:$E$30,$E52,CX$5:CX$30)</f>
        <v>#DIV/0!</v>
      </c>
      <c r="CY52" s="73" t="e">
        <f>AVERAGEIF($E$5:$E$30,$E52,CY$5:CY$30)</f>
        <v>#DIV/0!</v>
      </c>
      <c r="CZ52" s="73" t="e">
        <f>AVERAGEIF($E$5:$E$30,$E52,CZ$5:CZ$30)</f>
        <v>#DIV/0!</v>
      </c>
      <c r="DA52" s="73" t="e">
        <f>AVERAGEIF($E$5:$E$30,$E52,DA$5:DA$30)</f>
        <v>#DIV/0!</v>
      </c>
      <c r="DB52" s="73" t="e">
        <f>AVERAGEIF($E$5:$E$30,$E52,DB$5:DB$30)</f>
        <v>#DIV/0!</v>
      </c>
      <c r="DC52" s="73" t="e">
        <f>AVERAGEIF($E$5:$E$30,$E52,DC$5:DC$30)</f>
        <v>#DIV/0!</v>
      </c>
      <c r="DD52" s="73" t="e">
        <f>AVERAGEIF($E$5:$E$30,$E52,DD$5:DD$30)</f>
        <v>#DIV/0!</v>
      </c>
      <c r="DE52" s="73" t="e">
        <f>AVERAGEIF($E$5:$E$30,$E52,DE$5:DE$30)</f>
        <v>#DIV/0!</v>
      </c>
      <c r="DF52" s="73" t="e">
        <f>AVERAGEIF($E$5:$E$30,$E52,DF$5:DF$30)</f>
        <v>#DIV/0!</v>
      </c>
      <c r="DG52" s="73" t="e">
        <f>AVERAGEIF($E$5:$E$30,$E52,DG$5:DG$30)</f>
        <v>#DIV/0!</v>
      </c>
      <c r="DH52" s="73" t="e">
        <f>AVERAGEIF($E$5:$E$30,$E52,DH$5:DH$30)</f>
        <v>#DIV/0!</v>
      </c>
      <c r="DI52" s="73" t="e">
        <f>AVERAGEIF($E$5:$E$30,$E52,DI$5:DI$30)</f>
        <v>#DIV/0!</v>
      </c>
      <c r="DJ52" s="73" t="e">
        <f>AVERAGEIF($E$5:$E$30,$E52,DJ$5:DJ$30)</f>
        <v>#DIV/0!</v>
      </c>
      <c r="DK52" s="73" t="e">
        <f>AVERAGEIF($E$5:$E$30,$E52,DK$5:DK$30)</f>
        <v>#DIV/0!</v>
      </c>
      <c r="DL52" s="178" t="e">
        <f t="shared" ref="DL52:DP52" si="92">SQRT(DL39*DL50-(DL38^2*DL49^2))</f>
        <v>#REF!</v>
      </c>
      <c r="DM52" s="178" t="e">
        <f t="shared" si="92"/>
        <v>#REF!</v>
      </c>
      <c r="DN52" s="178" t="e">
        <f t="shared" si="92"/>
        <v>#REF!</v>
      </c>
      <c r="DO52" s="178" t="e">
        <f t="shared" si="92"/>
        <v>#REF!</v>
      </c>
      <c r="DP52" s="148" t="e">
        <f t="shared" si="92"/>
        <v>#REF!</v>
      </c>
    </row>
    <row r="53" spans="1:120" ht="14.25" customHeight="1">
      <c r="A53" s="113"/>
      <c r="E53" s="118"/>
      <c r="I53" s="93"/>
      <c r="J53" s="107" t="e">
        <f t="array" ref="J53">_xlfn.STDEV.P(IF($E$5:$E$30=$E52,J$5:J$30))</f>
        <v>#DIV/0!</v>
      </c>
      <c r="K53" s="107"/>
      <c r="L53" s="107"/>
      <c r="M53" s="107" t="e">
        <f t="array" ref="M53">_xlfn.STDEV.P(IF($E$5:$E$30=$E52,M$5:M$30))</f>
        <v>#DIV/0!</v>
      </c>
      <c r="N53" s="107" t="e">
        <f t="array" ref="N53">_xlfn.STDEV.P(IF($E$5:$E$30=$E52,N$5:N$30))</f>
        <v>#DIV/0!</v>
      </c>
      <c r="O53" s="107" t="e">
        <f t="array" ref="O53">_xlfn.STDEV.P(IF($E$5:$E$30=$E52,O$5:O$30))</f>
        <v>#DIV/0!</v>
      </c>
      <c r="P53" s="107" t="e">
        <f t="array" ref="P53">_xlfn.STDEV.P(IF($E$5:$E$30=$E52,P$5:P$30))</f>
        <v>#DIV/0!</v>
      </c>
      <c r="Q53" s="107" t="e">
        <f t="array" ref="Q53">_xlfn.STDEV.P(IF($E$5:$E$30=$E52,Q$5:Q$30))</f>
        <v>#DIV/0!</v>
      </c>
      <c r="R53" s="107" t="e">
        <f t="array" ref="R53">_xlfn.STDEV.P(IF($E$5:$E$30=$E52,R$5:R$30))</f>
        <v>#DIV/0!</v>
      </c>
      <c r="S53" s="244"/>
      <c r="T53" s="244" t="e">
        <f t="array" ref="T53">_xlfn.STDEV.P(IF($E$5:$E$30=$E52,T$5:T$30))</f>
        <v>#DIV/0!</v>
      </c>
      <c r="U53" s="107" t="e">
        <f t="array" ref="U53">_xlfn.STDEV.P(IF($E$5:$E$30=$E52,U$5:U$30))</f>
        <v>#DIV/0!</v>
      </c>
      <c r="V53" s="72" t="s">
        <v>11</v>
      </c>
      <c r="W53" s="81" t="e">
        <f t="array" ref="W53">_xlfn.STDEV.P(IF($E$5:$E$30=$E52,W$5:W$30))</f>
        <v>#DIV/0!</v>
      </c>
      <c r="X53" s="81" t="e">
        <f t="array" ref="X53">_xlfn.STDEV.P(IF($E$5:$E$30=$E52,X$5:X$30))</f>
        <v>#DIV/0!</v>
      </c>
      <c r="Y53" s="81" t="e">
        <f t="array" ref="Y53">_xlfn.STDEV.P(IF($E$5:$E$30=$E52,Y$5:Y$30))</f>
        <v>#DIV/0!</v>
      </c>
      <c r="Z53" s="81" t="e">
        <f t="array" ref="Z53">_xlfn.STDEV.P(IF($E$5:$E$30=$E52,Z$5:Z$30))</f>
        <v>#DIV/0!</v>
      </c>
      <c r="AA53" s="81" t="e">
        <f t="array" ref="AA53">_xlfn.STDEV.P(IF($E$5:$E$30=$E52,AA$5:AA$30))</f>
        <v>#DIV/0!</v>
      </c>
      <c r="AB53" s="81" t="e">
        <f t="array" ref="AB53">_xlfn.STDEV.P(IF($E$5:$E$30=$E52,AB$5:AB$30))</f>
        <v>#DIV/0!</v>
      </c>
      <c r="AC53" s="81" t="e">
        <f t="array" ref="AC53">_xlfn.STDEV.P(IF($E$5:$E$30=$E52,AC$5:AC$30))</f>
        <v>#DIV/0!</v>
      </c>
      <c r="AD53" s="81" t="e">
        <f t="array" ref="AD53">_xlfn.STDEV.P(IF($E$5:$E$30=$E52,AD$5:AD$30))</f>
        <v>#DIV/0!</v>
      </c>
      <c r="AE53" s="81" t="e">
        <f t="array" ref="AE53">_xlfn.STDEV.P(IF($E$5:$E$30=$E52,AE$5:AE$30))</f>
        <v>#DIV/0!</v>
      </c>
      <c r="AF53" s="81" t="e">
        <f t="array" ref="AF53">_xlfn.STDEV.P(IF($E$5:$E$30=$E52,AF$5:AF$30))</f>
        <v>#DIV/0!</v>
      </c>
      <c r="AG53" s="81" t="e">
        <f t="array" ref="AG53">_xlfn.STDEV.P(IF($E$5:$E$30=$E52,AG$5:AG$30))</f>
        <v>#DIV/0!</v>
      </c>
      <c r="AH53" s="81" t="e">
        <f t="array" ref="AH53">_xlfn.STDEV.P(IF($E$5:$E$30=$E52,AH$5:AH$30))</f>
        <v>#DIV/0!</v>
      </c>
      <c r="AI53" s="81" t="e">
        <f t="array" ref="AI53">_xlfn.STDEV.P(IF($E$5:$E$30=$E52,AI$5:AI$30))</f>
        <v>#DIV/0!</v>
      </c>
      <c r="AJ53" s="81" t="e">
        <f t="array" ref="AJ53">_xlfn.STDEV.P(IF($E$5:$E$30=$E52,AJ$5:AJ$30))</f>
        <v>#DIV/0!</v>
      </c>
      <c r="AK53" s="81" t="e">
        <f t="array" ref="AK53">_xlfn.STDEV.P(IF($E$5:$E$30=$E52,AK$5:AK$30))</f>
        <v>#DIV/0!</v>
      </c>
      <c r="AL53" s="81" t="e">
        <f t="array" ref="AL53">_xlfn.STDEV.P(IF($E$5:$E$30=$E52,AL$5:AL$30))</f>
        <v>#DIV/0!</v>
      </c>
      <c r="AM53" s="81" t="e">
        <f t="array" ref="AM53">_xlfn.STDEV.P(IF($E$5:$E$30=$E52,AM$5:AM$30))</f>
        <v>#DIV/0!</v>
      </c>
      <c r="AN53" s="81" t="e">
        <f t="array" ref="AN53">_xlfn.STDEV.P(IF($E$5:$E$30=$E52,AN$5:AN$30))</f>
        <v>#DIV/0!</v>
      </c>
      <c r="AO53" s="81" t="e">
        <f t="array" ref="AO53">_xlfn.STDEV.P(IF($E$5:$E$30=$E52,AO$5:AO$30))</f>
        <v>#DIV/0!</v>
      </c>
      <c r="AP53" s="81" t="e">
        <f t="array" ref="AP53">_xlfn.STDEV.P(IF($E$5:$E$30=$E52,AP$5:AP$30))</f>
        <v>#DIV/0!</v>
      </c>
      <c r="AQ53" s="81" t="e">
        <f t="array" ref="AQ53">_xlfn.STDEV.P(IF($E$5:$E$30=$E52,AQ$5:AQ$30))</f>
        <v>#DIV/0!</v>
      </c>
      <c r="AR53" s="81" t="e">
        <f t="array" ref="AR53">_xlfn.STDEV.P(IF($E$5:$E$30=$E52,AR$5:AR$30))</f>
        <v>#DIV/0!</v>
      </c>
      <c r="AS53" s="81" t="e">
        <f t="array" ref="AS53">_xlfn.STDEV.P(IF($E$5:$E$30=$E52,AS$5:AS$30))</f>
        <v>#DIV/0!</v>
      </c>
      <c r="AT53" s="81" t="e">
        <f t="array" ref="AT53">_xlfn.STDEV.P(IF($E$5:$E$30=$E52,AT$5:AT$30))</f>
        <v>#DIV/0!</v>
      </c>
      <c r="AU53" s="81" t="e">
        <f t="array" ref="AU53">_xlfn.STDEV.P(IF($E$5:$E$30=$E52,AU$5:AU$30))</f>
        <v>#DIV/0!</v>
      </c>
      <c r="AV53" s="81" t="e">
        <f t="array" ref="AV53">_xlfn.STDEV.P(IF($E$5:$E$30=$E52,AV$5:AV$30))</f>
        <v>#DIV/0!</v>
      </c>
      <c r="AW53" s="81" t="e">
        <f t="array" ref="AW53">_xlfn.STDEV.P(IF($E$5:$E$30=$E52,AW$5:AW$30))</f>
        <v>#DIV/0!</v>
      </c>
      <c r="AX53" s="81" t="e">
        <f t="array" ref="AX53">_xlfn.STDEV.P(IF($E$5:$E$30=$E52,AX$5:AX$30))</f>
        <v>#DIV/0!</v>
      </c>
      <c r="AY53" s="81" t="e">
        <f t="array" ref="AY53">_xlfn.STDEV.P(IF($E$5:$E$30=$E52,AY$5:AY$30))</f>
        <v>#DIV/0!</v>
      </c>
      <c r="AZ53" s="81" t="e">
        <f t="array" ref="AZ53">_xlfn.STDEV.P(IF($E$5:$E$30=$E52,AZ$5:AZ$30))</f>
        <v>#DIV/0!</v>
      </c>
      <c r="BA53" s="81" t="e">
        <f t="array" ref="BA53">_xlfn.STDEV.P(IF($E$5:$E$30=$E52,BA$5:BA$30))</f>
        <v>#DIV/0!</v>
      </c>
      <c r="BB53" s="81" t="e">
        <f t="array" ref="BB53">_xlfn.STDEV.P(IF($E$5:$E$30=$E52,BB$5:BB$30))</f>
        <v>#DIV/0!</v>
      </c>
      <c r="BC53" s="81" t="e">
        <f t="array" ref="BC53">_xlfn.STDEV.P(IF($E$5:$E$30=$E52,BC$5:BC$30))</f>
        <v>#DIV/0!</v>
      </c>
      <c r="BD53" s="81" t="e">
        <f t="array" ref="BD53">_xlfn.STDEV.P(IF($E$5:$E$30=$E52,BD$5:BD$30))</f>
        <v>#DIV/0!</v>
      </c>
      <c r="BE53" s="81" t="e">
        <f t="array" ref="BE53">_xlfn.STDEV.P(IF($E$5:$E$30=$E52,BE$5:BE$30))</f>
        <v>#DIV/0!</v>
      </c>
      <c r="BF53" s="81" t="e">
        <f t="array" ref="BF53">_xlfn.STDEV.P(IF($E$5:$E$30=$E52,BF$5:BF$30))</f>
        <v>#DIV/0!</v>
      </c>
      <c r="BG53" s="81" t="e">
        <f t="array" ref="BG53">_xlfn.STDEV.P(IF($E$5:$E$30=$E52,BG$5:BG$30))</f>
        <v>#DIV/0!</v>
      </c>
      <c r="BH53" s="81" t="e">
        <f t="array" ref="BH53">_xlfn.STDEV.P(IF($E$5:$E$30=$E52,BH$5:BH$30))</f>
        <v>#DIV/0!</v>
      </c>
      <c r="BI53" s="81" t="e">
        <f t="array" ref="BI53">_xlfn.STDEV.P(IF($E$5:$E$30=$E52,BI$5:BI$30))</f>
        <v>#DIV/0!</v>
      </c>
      <c r="BJ53" s="81" t="e">
        <f t="array" ref="BJ53">_xlfn.STDEV.P(IF($E$5:$E$30=$E52,BJ$5:BJ$30))</f>
        <v>#DIV/0!</v>
      </c>
      <c r="BK53" s="81" t="e">
        <f t="array" ref="BK53">_xlfn.STDEV.P(IF($E$5:$E$30=$E52,BK$5:BK$30))</f>
        <v>#DIV/0!</v>
      </c>
      <c r="BL53" s="81" t="e">
        <f t="array" ref="BL53">_xlfn.STDEV.P(IF($E$5:$E$30=$E52,BL$5:BL$30))</f>
        <v>#DIV/0!</v>
      </c>
      <c r="BM53" s="81" t="e">
        <f t="array" ref="BM53">_xlfn.STDEV.P(IF($E$5:$E$30=$E52,BM$5:BM$30))</f>
        <v>#DIV/0!</v>
      </c>
      <c r="BN53" s="81" t="e">
        <f t="array" ref="BN53">_xlfn.STDEV.P(IF($E$5:$E$30=$E52,BN$5:BN$30))</f>
        <v>#DIV/0!</v>
      </c>
      <c r="BO53" s="81" t="e">
        <f t="array" ref="BO53">_xlfn.STDEV.P(IF($E$5:$E$30=$E52,BO$5:BO$30))</f>
        <v>#DIV/0!</v>
      </c>
      <c r="BP53" s="81" t="e">
        <f t="array" ref="BP53">_xlfn.STDEV.P(IF($E$5:$E$30=$E52,BP$5:BP$30))</f>
        <v>#DIV/0!</v>
      </c>
      <c r="BQ53" s="104" t="s">
        <v>11</v>
      </c>
      <c r="BR53" s="74" t="e">
        <f t="array" ref="BR53">_xlfn.STDEV.P(IF($E$5:$E$30=$E52,BR$5:BR$30))</f>
        <v>#DIV/0!</v>
      </c>
      <c r="BS53" s="74" t="e">
        <f t="array" ref="BS53">_xlfn.STDEV.P(IF($E$5:$E$30=$E52,BS$5:BS$30))</f>
        <v>#DIV/0!</v>
      </c>
      <c r="BT53" s="74" t="e">
        <f t="array" ref="BT53">_xlfn.STDEV.P(IF($E$5:$E$30=$E52,BT$5:BT$30))</f>
        <v>#DIV/0!</v>
      </c>
      <c r="BU53" s="74" t="e">
        <f t="array" ref="BU53">_xlfn.STDEV.P(IF($E$5:$E$30=$E52,BU$5:BU$30))</f>
        <v>#DIV/0!</v>
      </c>
      <c r="BV53" s="74" t="e">
        <f t="array" ref="BV53">_xlfn.STDEV.P(IF($E$5:$E$30=$E52,BV$5:BV$30))</f>
        <v>#DIV/0!</v>
      </c>
      <c r="BW53" s="74" t="e">
        <f t="array" ref="BW53">_xlfn.STDEV.P(IF($E$5:$E$30=$E52,BW$5:BW$30))</f>
        <v>#DIV/0!</v>
      </c>
      <c r="BX53" s="74" t="e">
        <f t="array" ref="BX53">_xlfn.STDEV.P(IF($E$5:$E$30=$E52,BX$5:BX$30))</f>
        <v>#DIV/0!</v>
      </c>
      <c r="BY53" s="74" t="e">
        <f t="array" ref="BY53">_xlfn.STDEV.P(IF($E$5:$E$30=$E52,BY$5:BY$30))</f>
        <v>#DIV/0!</v>
      </c>
      <c r="BZ53" s="74" t="e">
        <f t="array" ref="BZ53">_xlfn.STDEV.P(IF($E$5:$E$30=$E52,BZ$5:BZ$30))</f>
        <v>#DIV/0!</v>
      </c>
      <c r="CA53" s="74" t="e">
        <f t="array" ref="CA53">_xlfn.STDEV.P(IF($E$5:$E$30=$E52,CA$5:CA$30))</f>
        <v>#DIV/0!</v>
      </c>
      <c r="CB53" s="74" t="e">
        <f t="array" ref="CB53">_xlfn.STDEV.P(IF($E$5:$E$30=$E52,CB$5:CB$30))</f>
        <v>#DIV/0!</v>
      </c>
      <c r="CC53" s="74" t="e">
        <f t="array" ref="CC53">_xlfn.STDEV.P(IF($E$5:$E$30=$E52,CC$5:CC$30))</f>
        <v>#DIV/0!</v>
      </c>
      <c r="CD53" s="74" t="e">
        <f t="array" ref="CD53">_xlfn.STDEV.P(IF($E$5:$E$30=$E52,CD$5:CD$30))</f>
        <v>#DIV/0!</v>
      </c>
      <c r="CE53" s="74" t="e">
        <f t="array" ref="CE53">_xlfn.STDEV.P(IF($E$5:$E$30=$E52,CE$5:CE$30))</f>
        <v>#DIV/0!</v>
      </c>
      <c r="CF53" s="74" t="e">
        <f t="array" ref="CF53">_xlfn.STDEV.P(IF($E$5:$E$30=$E52,CF$5:CF$30))</f>
        <v>#DIV/0!</v>
      </c>
      <c r="CG53" s="74" t="e">
        <f t="array" ref="CG53">_xlfn.STDEV.P(IF($E$5:$E$30=$E52,CG$5:CG$30))</f>
        <v>#DIV/0!</v>
      </c>
      <c r="CH53" s="74" t="e">
        <f t="array" ref="CH53">_xlfn.STDEV.P(IF($E$5:$E$30=$E52,CH$5:CH$30))</f>
        <v>#DIV/0!</v>
      </c>
      <c r="CI53" s="74" t="e">
        <f t="array" ref="CI53">_xlfn.STDEV.P(IF($E$5:$E$30=$E52,CI$5:CI$30))</f>
        <v>#DIV/0!</v>
      </c>
      <c r="CJ53" s="74" t="e">
        <f t="array" ref="CJ53">_xlfn.STDEV.P(IF($E$5:$E$30=$E52,CJ$5:CJ$30))</f>
        <v>#DIV/0!</v>
      </c>
      <c r="CK53" s="74" t="e">
        <f t="array" ref="CK53">_xlfn.STDEV.P(IF($E$5:$E$30=$E52,CK$5:CK$30))</f>
        <v>#DIV/0!</v>
      </c>
      <c r="CL53" s="74" t="e">
        <f t="array" ref="CL53">_xlfn.STDEV.P(IF($E$5:$E$30=$E52,CL$5:CL$30))</f>
        <v>#DIV/0!</v>
      </c>
      <c r="CM53" s="74" t="e">
        <f t="array" ref="CM53">_xlfn.STDEV.P(IF($E$5:$E$30=$E52,CM$5:CM$30))</f>
        <v>#DIV/0!</v>
      </c>
      <c r="CN53" s="74" t="e">
        <f t="array" ref="CN53">_xlfn.STDEV.P(IF($E$5:$E$30=$E52,CN$5:CN$30))</f>
        <v>#DIV/0!</v>
      </c>
      <c r="CO53" s="74" t="e">
        <f t="array" ref="CO53">_xlfn.STDEV.P(IF($E$5:$E$30=$E52,CO$5:CO$30))</f>
        <v>#DIV/0!</v>
      </c>
      <c r="CP53" s="74" t="e">
        <f t="array" ref="CP53">_xlfn.STDEV.P(IF($E$5:$E$30=$E52,CP$5:CP$30))</f>
        <v>#DIV/0!</v>
      </c>
      <c r="CQ53" s="74" t="e">
        <f t="array" ref="CQ53">_xlfn.STDEV.P(IF($E$5:$E$30=$E52,CQ$5:CQ$30))</f>
        <v>#DIV/0!</v>
      </c>
      <c r="CR53" s="74" t="e">
        <f t="array" ref="CR53">_xlfn.STDEV.P(IF($E$5:$E$30=$E52,CR$5:CR$30))</f>
        <v>#DIV/0!</v>
      </c>
      <c r="CS53" s="74" t="e">
        <f t="array" ref="CS53">_xlfn.STDEV.P(IF($E$5:$E$30=$E52,CS$5:CS$30))</f>
        <v>#DIV/0!</v>
      </c>
      <c r="CT53" s="74" t="e">
        <f t="array" ref="CT53">_xlfn.STDEV.P(IF($E$5:$E$30=$E52,CT$5:CT$30))</f>
        <v>#DIV/0!</v>
      </c>
      <c r="CU53" s="74" t="e">
        <f t="array" ref="CU53">_xlfn.STDEV.P(IF($E$5:$E$30=$E52,CU$5:CU$30))</f>
        <v>#DIV/0!</v>
      </c>
      <c r="CV53" s="74" t="e">
        <f t="array" ref="CV53">_xlfn.STDEV.P(IF($E$5:$E$30=$E52,CV$5:CV$30))</f>
        <v>#DIV/0!</v>
      </c>
      <c r="CW53" s="74" t="e">
        <f t="array" ref="CW53">_xlfn.STDEV.P(IF($E$5:$E$30=$E52,CW$5:CW$30))</f>
        <v>#DIV/0!</v>
      </c>
      <c r="CX53" s="74" t="e">
        <f t="array" ref="CX53">_xlfn.STDEV.P(IF($E$5:$E$30=$E52,CX$5:CX$30))</f>
        <v>#DIV/0!</v>
      </c>
      <c r="CY53" s="74" t="e">
        <f t="array" ref="CY53">_xlfn.STDEV.P(IF($E$5:$E$30=$E52,CY$5:CY$30))</f>
        <v>#DIV/0!</v>
      </c>
      <c r="CZ53" s="74" t="e">
        <f t="array" ref="CZ53">_xlfn.STDEV.P(IF($E$5:$E$30=$E52,CZ$5:CZ$30))</f>
        <v>#DIV/0!</v>
      </c>
      <c r="DA53" s="74" t="e">
        <f t="array" ref="DA53">_xlfn.STDEV.P(IF($E$5:$E$30=$E52,DA$5:DA$30))</f>
        <v>#DIV/0!</v>
      </c>
      <c r="DB53" s="74" t="e">
        <f t="array" ref="DB53">_xlfn.STDEV.P(IF($E$5:$E$30=$E52,DB$5:DB$30))</f>
        <v>#DIV/0!</v>
      </c>
      <c r="DC53" s="74" t="e">
        <f t="array" ref="DC53">_xlfn.STDEV.P(IF($E$5:$E$30=$E52,DC$5:DC$30))</f>
        <v>#DIV/0!</v>
      </c>
      <c r="DD53" s="74" t="e">
        <f t="array" ref="DD53">_xlfn.STDEV.P(IF($E$5:$E$30=$E52,DD$5:DD$30))</f>
        <v>#DIV/0!</v>
      </c>
      <c r="DE53" s="74" t="e">
        <f t="array" ref="DE53">_xlfn.STDEV.P(IF($E$5:$E$30=$E52,DE$5:DE$30))</f>
        <v>#DIV/0!</v>
      </c>
      <c r="DF53" s="74" t="e">
        <f t="array" ref="DF53">_xlfn.STDEV.P(IF($E$5:$E$30=$E52,DF$5:DF$30))</f>
        <v>#DIV/0!</v>
      </c>
      <c r="DG53" s="74" t="e">
        <f t="array" ref="DG53">_xlfn.STDEV.P(IF($E$5:$E$30=$E52,DG$5:DG$30))</f>
        <v>#DIV/0!</v>
      </c>
      <c r="DH53" s="74" t="e">
        <f t="array" ref="DH53">_xlfn.STDEV.P(IF($E$5:$E$30=$E52,DH$5:DH$30))</f>
        <v>#DIV/0!</v>
      </c>
      <c r="DI53" s="74" t="e">
        <f t="array" ref="DI53">_xlfn.STDEV.P(IF($E$5:$E$30=$E52,DI$5:DI$30))</f>
        <v>#DIV/0!</v>
      </c>
      <c r="DJ53" s="74" t="e">
        <f t="array" ref="DJ53">_xlfn.STDEV.P(IF($E$5:$E$30=$E52,DJ$5:DJ$30))</f>
        <v>#DIV/0!</v>
      </c>
      <c r="DK53" s="74" t="e">
        <f t="array" ref="DK53">_xlfn.STDEV.P(IF($E$5:$E$30=$E52,DK$5:DK$30))</f>
        <v>#DIV/0!</v>
      </c>
      <c r="DL53" s="177"/>
      <c r="DM53" s="177"/>
      <c r="DN53" s="177"/>
      <c r="DO53" s="177"/>
    </row>
    <row r="54" spans="1:120" s="162" customFormat="1" ht="14.25" customHeight="1">
      <c r="A54" s="158"/>
      <c r="B54" s="159"/>
      <c r="C54" s="160"/>
      <c r="D54" s="181"/>
      <c r="E54" s="161"/>
      <c r="G54" s="159"/>
      <c r="H54" s="159"/>
      <c r="I54" s="163"/>
      <c r="J54" s="164"/>
      <c r="K54" s="164"/>
      <c r="L54" s="164"/>
      <c r="M54" s="164"/>
      <c r="N54" s="164"/>
      <c r="O54" s="164"/>
      <c r="P54" s="164"/>
      <c r="Q54" s="164"/>
      <c r="R54" s="164"/>
      <c r="S54" s="244"/>
      <c r="T54" s="244"/>
      <c r="U54" s="164"/>
      <c r="V54" s="165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156"/>
      <c r="BR54" s="157"/>
      <c r="BS54" s="157"/>
      <c r="BT54" s="157"/>
      <c r="BU54" s="157"/>
      <c r="BV54" s="157"/>
      <c r="BW54" s="157"/>
      <c r="BX54" s="157"/>
      <c r="BY54" s="157"/>
      <c r="BZ54" s="157"/>
      <c r="CA54" s="157"/>
      <c r="CB54" s="157"/>
      <c r="CC54" s="157"/>
      <c r="CD54" s="157"/>
      <c r="CE54" s="157"/>
      <c r="CF54" s="157"/>
      <c r="CG54" s="157"/>
      <c r="CH54" s="157"/>
      <c r="CI54" s="157"/>
      <c r="CJ54" s="157"/>
      <c r="CK54" s="157"/>
      <c r="CL54" s="157"/>
      <c r="CM54" s="157"/>
      <c r="CN54" s="157"/>
      <c r="CO54" s="157"/>
      <c r="CP54" s="157"/>
      <c r="CQ54" s="157"/>
      <c r="CR54" s="157"/>
      <c r="CS54" s="157"/>
      <c r="CT54" s="157"/>
      <c r="CU54" s="157"/>
      <c r="CV54" s="157"/>
      <c r="CW54" s="157"/>
      <c r="CX54" s="157"/>
      <c r="CY54" s="157"/>
      <c r="CZ54" s="157"/>
      <c r="DA54" s="157"/>
      <c r="DB54" s="157"/>
      <c r="DC54" s="157"/>
      <c r="DD54" s="157"/>
      <c r="DE54" s="157"/>
      <c r="DF54" s="157"/>
      <c r="DG54" s="157"/>
      <c r="DH54" s="157"/>
      <c r="DI54" s="157"/>
      <c r="DJ54" s="157"/>
      <c r="DK54" s="157"/>
      <c r="DL54" s="177"/>
      <c r="DM54" s="177"/>
      <c r="DN54" s="177"/>
      <c r="DO54" s="177"/>
    </row>
    <row r="55" spans="1:120" s="171" customFormat="1" ht="14.25" customHeight="1">
      <c r="A55" s="167"/>
      <c r="B55" s="168"/>
      <c r="C55" s="169"/>
      <c r="D55" s="182"/>
      <c r="E55" s="170"/>
      <c r="G55" s="168"/>
      <c r="H55" s="168"/>
      <c r="I55" s="172"/>
      <c r="J55" s="173"/>
      <c r="K55" s="173"/>
      <c r="L55" s="173"/>
      <c r="M55" s="173"/>
      <c r="N55" s="173"/>
      <c r="O55" s="173"/>
      <c r="P55" s="173"/>
      <c r="Q55" s="173"/>
      <c r="R55" s="173"/>
      <c r="S55" s="244"/>
      <c r="T55" s="244"/>
      <c r="U55" s="173"/>
      <c r="V55" s="174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175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  <c r="CM55" s="166"/>
      <c r="CN55" s="166"/>
      <c r="CO55" s="166"/>
      <c r="CP55" s="166"/>
      <c r="CQ55" s="166"/>
      <c r="CR55" s="166"/>
      <c r="CS55" s="166"/>
      <c r="CT55" s="166"/>
      <c r="CU55" s="166"/>
      <c r="CV55" s="166"/>
      <c r="CW55" s="166"/>
      <c r="CX55" s="166"/>
      <c r="CY55" s="166"/>
      <c r="CZ55" s="166"/>
      <c r="DA55" s="166"/>
      <c r="DB55" s="166"/>
      <c r="DC55" s="166"/>
      <c r="DD55" s="166"/>
      <c r="DE55" s="166"/>
      <c r="DF55" s="166"/>
      <c r="DG55" s="166"/>
      <c r="DH55" s="166"/>
      <c r="DI55" s="166"/>
      <c r="DJ55" s="166"/>
      <c r="DK55" s="166"/>
      <c r="DL55" s="177"/>
      <c r="DM55" s="177"/>
      <c r="DN55" s="177"/>
      <c r="DO55" s="177"/>
    </row>
    <row r="56" spans="1:120" ht="15">
      <c r="A56" s="113"/>
      <c r="E56" s="118"/>
      <c r="I56" s="52"/>
      <c r="K56" s="57"/>
      <c r="L56" s="57"/>
      <c r="P56" s="57"/>
      <c r="Q56" s="57"/>
      <c r="R56" s="57"/>
      <c r="S56" s="243"/>
      <c r="T56" s="243"/>
      <c r="U56" s="57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DF56" s="44"/>
      <c r="DG56" s="44"/>
      <c r="DH56" s="44"/>
      <c r="DI56" s="44"/>
      <c r="DJ56" s="44"/>
      <c r="DK56" s="44"/>
      <c r="DL56" s="177"/>
      <c r="DM56" s="177"/>
      <c r="DN56" s="177"/>
      <c r="DO56" s="177"/>
    </row>
    <row r="57" spans="1:120" ht="14.25" customHeight="1">
      <c r="A57" s="113"/>
      <c r="E57" s="118" t="str">
        <f>'FIG6 Groups'!C12</f>
        <v>Group 7</v>
      </c>
      <c r="I57" s="118" t="str">
        <f>E57</f>
        <v>Group 7</v>
      </c>
      <c r="J57" s="107" t="e">
        <f>AVERAGEIF($E$5:$E$30,$E57,J$5:J$30)</f>
        <v>#DIV/0!</v>
      </c>
      <c r="K57" s="107"/>
      <c r="L57" s="107"/>
      <c r="M57" s="107" t="e">
        <f>AVERAGEIF($E$5:$E$30,$E57,M$5:M$30)</f>
        <v>#DIV/0!</v>
      </c>
      <c r="N57" s="107" t="e">
        <f>AVERAGEIF($E$5:$E$30,$E57,N$5:N$30)</f>
        <v>#DIV/0!</v>
      </c>
      <c r="O57" s="107" t="e">
        <f>AVERAGEIF($E$5:$E$30,$E57,O$5:O$30)</f>
        <v>#DIV/0!</v>
      </c>
      <c r="P57" s="107" t="e">
        <f>AVERAGEIF($E$5:$E$30,$E57,P$5:P$30)</f>
        <v>#DIV/0!</v>
      </c>
      <c r="Q57" s="107" t="e">
        <f>AVERAGEIF($E$5:$E$30,$E57,Q$5:Q$30)</f>
        <v>#DIV/0!</v>
      </c>
      <c r="R57" s="107" t="e">
        <f>AVERAGEIF($E$5:$E$30,$E57,R$5:R$30)</f>
        <v>#DIV/0!</v>
      </c>
      <c r="S57" s="244"/>
      <c r="T57" s="244" t="e">
        <f>AVERAGEIF($E$5:$E$30,$E57,T$5:T$30)</f>
        <v>#DIV/0!</v>
      </c>
      <c r="U57" s="107" t="e">
        <f>AVERAGEIF($E$5:$E$30,$E57,U$5:U$30)</f>
        <v>#DIV/0!</v>
      </c>
      <c r="V57" s="72" t="s">
        <v>9</v>
      </c>
      <c r="W57" s="78" t="e">
        <f>AVERAGEIF($E$5:$E$30,$E57,W$5:W$30)</f>
        <v>#DIV/0!</v>
      </c>
      <c r="X57" s="78" t="e">
        <f>AVERAGEIF($E$5:$E$30,$E57,X$5:X$30)</f>
        <v>#DIV/0!</v>
      </c>
      <c r="Y57" s="78" t="e">
        <f>AVERAGEIF($E$5:$E$30,$E57,Y$5:Y$30)</f>
        <v>#DIV/0!</v>
      </c>
      <c r="Z57" s="78" t="e">
        <f>AVERAGEIF($E$5:$E$30,$E57,Z$5:Z$30)</f>
        <v>#DIV/0!</v>
      </c>
      <c r="AA57" s="78" t="e">
        <f>AVERAGEIF($E$5:$E$30,$E57,AA$5:AA$30)</f>
        <v>#DIV/0!</v>
      </c>
      <c r="AB57" s="78" t="e">
        <f>AVERAGEIF($E$5:$E$30,$E57,AB$5:AB$30)</f>
        <v>#DIV/0!</v>
      </c>
      <c r="AC57" s="78" t="e">
        <f>AVERAGEIF($E$5:$E$30,$E57,AC$5:AC$30)</f>
        <v>#DIV/0!</v>
      </c>
      <c r="AD57" s="78" t="e">
        <f>AVERAGEIF($E$5:$E$30,$E57,AD$5:AD$30)</f>
        <v>#DIV/0!</v>
      </c>
      <c r="AE57" s="78" t="e">
        <f>AVERAGEIF($E$5:$E$30,$E57,AE$5:AE$30)</f>
        <v>#DIV/0!</v>
      </c>
      <c r="AF57" s="78" t="e">
        <f>AVERAGEIF($E$5:$E$30,$E57,AF$5:AF$30)</f>
        <v>#DIV/0!</v>
      </c>
      <c r="AG57" s="78" t="e">
        <f>AVERAGEIF($E$5:$E$30,$E57,AG$5:AG$30)</f>
        <v>#DIV/0!</v>
      </c>
      <c r="AH57" s="78" t="e">
        <f>AVERAGEIF($E$5:$E$30,$E57,AH$5:AH$30)</f>
        <v>#DIV/0!</v>
      </c>
      <c r="AI57" s="78" t="e">
        <f>AVERAGEIF($E$5:$E$30,$E57,AI$5:AI$30)</f>
        <v>#DIV/0!</v>
      </c>
      <c r="AJ57" s="78" t="e">
        <f>AVERAGEIF($E$5:$E$30,$E57,AJ$5:AJ$30)</f>
        <v>#DIV/0!</v>
      </c>
      <c r="AK57" s="78" t="e">
        <f>AVERAGEIF($E$5:$E$30,$E57,AK$5:AK$30)</f>
        <v>#DIV/0!</v>
      </c>
      <c r="AL57" s="78" t="e">
        <f>AVERAGEIF($E$5:$E$30,$E57,AL$5:AL$30)</f>
        <v>#DIV/0!</v>
      </c>
      <c r="AM57" s="78" t="e">
        <f>AVERAGEIF($E$5:$E$30,$E57,AM$5:AM$30)</f>
        <v>#DIV/0!</v>
      </c>
      <c r="AN57" s="78" t="e">
        <f>AVERAGEIF($E$5:$E$30,$E57,AN$5:AN$30)</f>
        <v>#DIV/0!</v>
      </c>
      <c r="AO57" s="78" t="e">
        <f>AVERAGEIF($E$5:$E$30,$E57,AO$5:AO$30)</f>
        <v>#DIV/0!</v>
      </c>
      <c r="AP57" s="78" t="e">
        <f>AVERAGEIF($E$5:$E$30,$E57,AP$5:AP$30)</f>
        <v>#DIV/0!</v>
      </c>
      <c r="AQ57" s="78" t="e">
        <f>AVERAGEIF($E$5:$E$30,$E57,AQ$5:AQ$30)</f>
        <v>#DIV/0!</v>
      </c>
      <c r="AR57" s="78" t="e">
        <f>AVERAGEIF($E$5:$E$30,$E57,AR$5:AR$30)</f>
        <v>#DIV/0!</v>
      </c>
      <c r="AS57" s="78" t="e">
        <f>AVERAGEIF($E$5:$E$30,$E57,AS$5:AS$30)</f>
        <v>#DIV/0!</v>
      </c>
      <c r="AT57" s="78" t="e">
        <f>AVERAGEIF($E$5:$E$30,$E57,AT$5:AT$30)</f>
        <v>#DIV/0!</v>
      </c>
      <c r="AU57" s="78" t="e">
        <f>AVERAGEIF($E$5:$E$30,$E57,AU$5:AU$30)</f>
        <v>#DIV/0!</v>
      </c>
      <c r="AV57" s="78" t="e">
        <f>AVERAGEIF($E$5:$E$30,$E57,AV$5:AV$30)</f>
        <v>#DIV/0!</v>
      </c>
      <c r="AW57" s="78" t="e">
        <f>AVERAGEIF($E$5:$E$30,$E57,AW$5:AW$30)</f>
        <v>#DIV/0!</v>
      </c>
      <c r="AX57" s="78" t="e">
        <f>AVERAGEIF($E$5:$E$30,$E57,AX$5:AX$30)</f>
        <v>#DIV/0!</v>
      </c>
      <c r="AY57" s="78" t="e">
        <f>AVERAGEIF($E$5:$E$30,$E57,AY$5:AY$30)</f>
        <v>#DIV/0!</v>
      </c>
      <c r="AZ57" s="78" t="e">
        <f>AVERAGEIF($E$5:$E$30,$E57,AZ$5:AZ$30)</f>
        <v>#DIV/0!</v>
      </c>
      <c r="BA57" s="78" t="e">
        <f>AVERAGEIF($E$5:$E$30,$E57,BA$5:BA$30)</f>
        <v>#DIV/0!</v>
      </c>
      <c r="BB57" s="78" t="e">
        <f>AVERAGEIF($E$5:$E$30,$E57,BB$5:BB$30)</f>
        <v>#DIV/0!</v>
      </c>
      <c r="BC57" s="78" t="e">
        <f>AVERAGEIF($E$5:$E$30,$E57,BC$5:BC$30)</f>
        <v>#DIV/0!</v>
      </c>
      <c r="BD57" s="78" t="e">
        <f>AVERAGEIF($E$5:$E$30,$E57,BD$5:BD$30)</f>
        <v>#DIV/0!</v>
      </c>
      <c r="BE57" s="78" t="e">
        <f>AVERAGEIF($E$5:$E$30,$E57,BE$5:BE$30)</f>
        <v>#DIV/0!</v>
      </c>
      <c r="BF57" s="78" t="e">
        <f>AVERAGEIF($E$5:$E$30,$E57,BF$5:BF$30)</f>
        <v>#DIV/0!</v>
      </c>
      <c r="BG57" s="78" t="e">
        <f>AVERAGEIF($E$5:$E$30,$E57,BG$5:BG$30)</f>
        <v>#DIV/0!</v>
      </c>
      <c r="BH57" s="78" t="e">
        <f>AVERAGEIF($E$5:$E$30,$E57,BH$5:BH$30)</f>
        <v>#DIV/0!</v>
      </c>
      <c r="BI57" s="78" t="e">
        <f>AVERAGEIF($E$5:$E$30,$E57,BI$5:BI$30)</f>
        <v>#DIV/0!</v>
      </c>
      <c r="BJ57" s="78" t="e">
        <f>AVERAGEIF($E$5:$E$30,$E57,BJ$5:BJ$30)</f>
        <v>#DIV/0!</v>
      </c>
      <c r="BK57" s="78" t="e">
        <f>AVERAGEIF($E$5:$E$30,$E57,BK$5:BK$30)</f>
        <v>#DIV/0!</v>
      </c>
      <c r="BL57" s="78" t="e">
        <f>AVERAGEIF($E$5:$E$30,$E57,BL$5:BL$30)</f>
        <v>#DIV/0!</v>
      </c>
      <c r="BM57" s="78" t="e">
        <f>AVERAGEIF($E$5:$E$30,$E57,BM$5:BM$30)</f>
        <v>#DIV/0!</v>
      </c>
      <c r="BN57" s="78" t="e">
        <f>AVERAGEIF($E$5:$E$30,$E57,BN$5:BN$30)</f>
        <v>#DIV/0!</v>
      </c>
      <c r="BO57" s="78" t="e">
        <f>AVERAGEIF($E$5:$E$30,$E57,BO$5:BO$30)</f>
        <v>#DIV/0!</v>
      </c>
      <c r="BP57" s="78" t="e">
        <f>AVERAGEIF($E$5:$E$30,$E57,BP$5:BP$30)</f>
        <v>#DIV/0!</v>
      </c>
      <c r="BQ57" s="103" t="s">
        <v>9</v>
      </c>
      <c r="BR57" s="73" t="e">
        <f>AVERAGEIF($E$5:$E$30,$E57,BR$5:BR$30)</f>
        <v>#DIV/0!</v>
      </c>
      <c r="BS57" s="73" t="e">
        <f>AVERAGEIF($E$5:$E$30,$E57,BS$5:BS$30)</f>
        <v>#DIV/0!</v>
      </c>
      <c r="BT57" s="73" t="e">
        <f>AVERAGEIF($E$5:$E$30,$E57,BT$5:BT$30)</f>
        <v>#DIV/0!</v>
      </c>
      <c r="BU57" s="73" t="e">
        <f>AVERAGEIF($E$5:$E$30,$E57,BU$5:BU$30)</f>
        <v>#DIV/0!</v>
      </c>
      <c r="BV57" s="73" t="e">
        <f>AVERAGEIF($E$5:$E$30,$E57,BV$5:BV$30)</f>
        <v>#DIV/0!</v>
      </c>
      <c r="BW57" s="73" t="e">
        <f>AVERAGEIF($E$5:$E$30,$E57,BW$5:BW$30)</f>
        <v>#DIV/0!</v>
      </c>
      <c r="BX57" s="73" t="e">
        <f>AVERAGEIF($E$5:$E$30,$E57,BX$5:BX$30)</f>
        <v>#DIV/0!</v>
      </c>
      <c r="BY57" s="73" t="e">
        <f>AVERAGEIF($E$5:$E$30,$E57,BY$5:BY$30)</f>
        <v>#DIV/0!</v>
      </c>
      <c r="BZ57" s="73" t="e">
        <f>AVERAGEIF($E$5:$E$30,$E57,BZ$5:BZ$30)</f>
        <v>#DIV/0!</v>
      </c>
      <c r="CA57" s="73" t="e">
        <f>AVERAGEIF($E$5:$E$30,$E57,CA$5:CA$30)</f>
        <v>#DIV/0!</v>
      </c>
      <c r="CB57" s="73" t="e">
        <f>AVERAGEIF($E$5:$E$30,$E57,CB$5:CB$30)</f>
        <v>#DIV/0!</v>
      </c>
      <c r="CC57" s="73" t="e">
        <f>AVERAGEIF($E$5:$E$30,$E57,CC$5:CC$30)</f>
        <v>#DIV/0!</v>
      </c>
      <c r="CD57" s="73" t="e">
        <f>AVERAGEIF($E$5:$E$30,$E57,CD$5:CD$30)</f>
        <v>#DIV/0!</v>
      </c>
      <c r="CE57" s="73" t="e">
        <f>AVERAGEIF($E$5:$E$30,$E57,CE$5:CE$30)</f>
        <v>#DIV/0!</v>
      </c>
      <c r="CF57" s="73" t="e">
        <f>AVERAGEIF($E$5:$E$30,$E57,CF$5:CF$30)</f>
        <v>#DIV/0!</v>
      </c>
      <c r="CG57" s="73" t="e">
        <f>AVERAGEIF($E$5:$E$30,$E57,CG$5:CG$30)</f>
        <v>#DIV/0!</v>
      </c>
      <c r="CH57" s="73" t="e">
        <f>AVERAGEIF($E$5:$E$30,$E57,CH$5:CH$30)</f>
        <v>#DIV/0!</v>
      </c>
      <c r="CI57" s="73" t="e">
        <f>AVERAGEIF($E$5:$E$30,$E57,CI$5:CI$30)</f>
        <v>#DIV/0!</v>
      </c>
      <c r="CJ57" s="73" t="e">
        <f>AVERAGEIF($E$5:$E$30,$E57,CJ$5:CJ$30)</f>
        <v>#DIV/0!</v>
      </c>
      <c r="CK57" s="73" t="e">
        <f>AVERAGEIF($E$5:$E$30,$E57,CK$5:CK$30)</f>
        <v>#DIV/0!</v>
      </c>
      <c r="CL57" s="73" t="e">
        <f>AVERAGEIF($E$5:$E$30,$E57,CL$5:CL$30)</f>
        <v>#DIV/0!</v>
      </c>
      <c r="CM57" s="73" t="e">
        <f>AVERAGEIF($E$5:$E$30,$E57,CM$5:CM$30)</f>
        <v>#DIV/0!</v>
      </c>
      <c r="CN57" s="73" t="e">
        <f>AVERAGEIF($E$5:$E$30,$E57,CN$5:CN$30)</f>
        <v>#DIV/0!</v>
      </c>
      <c r="CO57" s="73" t="e">
        <f>AVERAGEIF($E$5:$E$30,$E57,CO$5:CO$30)</f>
        <v>#DIV/0!</v>
      </c>
      <c r="CP57" s="73" t="e">
        <f>AVERAGEIF($E$5:$E$30,$E57,CP$5:CP$30)</f>
        <v>#DIV/0!</v>
      </c>
      <c r="CQ57" s="73" t="e">
        <f>AVERAGEIF($E$5:$E$30,$E57,CQ$5:CQ$30)</f>
        <v>#DIV/0!</v>
      </c>
      <c r="CR57" s="73" t="e">
        <f>AVERAGEIF($E$5:$E$30,$E57,CR$5:CR$30)</f>
        <v>#DIV/0!</v>
      </c>
      <c r="CS57" s="73" t="e">
        <f>AVERAGEIF($E$5:$E$30,$E57,CS$5:CS$30)</f>
        <v>#DIV/0!</v>
      </c>
      <c r="CT57" s="73" t="e">
        <f>AVERAGEIF($E$5:$E$30,$E57,CT$5:CT$30)</f>
        <v>#DIV/0!</v>
      </c>
      <c r="CU57" s="73" t="e">
        <f>AVERAGEIF($E$5:$E$30,$E57,CU$5:CU$30)</f>
        <v>#DIV/0!</v>
      </c>
      <c r="CV57" s="73" t="e">
        <f>AVERAGEIF($E$5:$E$30,$E57,CV$5:CV$30)</f>
        <v>#DIV/0!</v>
      </c>
      <c r="CW57" s="73" t="e">
        <f>AVERAGEIF($E$5:$E$30,$E57,CW$5:CW$30)</f>
        <v>#DIV/0!</v>
      </c>
      <c r="CX57" s="73" t="e">
        <f>AVERAGEIF($E$5:$E$30,$E57,CX$5:CX$30)</f>
        <v>#DIV/0!</v>
      </c>
      <c r="CY57" s="73" t="e">
        <f>AVERAGEIF($E$5:$E$30,$E57,CY$5:CY$30)</f>
        <v>#DIV/0!</v>
      </c>
      <c r="CZ57" s="73" t="e">
        <f>AVERAGEIF($E$5:$E$30,$E57,CZ$5:CZ$30)</f>
        <v>#DIV/0!</v>
      </c>
      <c r="DA57" s="73" t="e">
        <f>AVERAGEIF($E$5:$E$30,$E57,DA$5:DA$30)</f>
        <v>#DIV/0!</v>
      </c>
      <c r="DB57" s="73" t="e">
        <f>AVERAGEIF($E$5:$E$30,$E57,DB$5:DB$30)</f>
        <v>#DIV/0!</v>
      </c>
      <c r="DC57" s="73" t="e">
        <f>AVERAGEIF($E$5:$E$30,$E57,DC$5:DC$30)</f>
        <v>#DIV/0!</v>
      </c>
      <c r="DD57" s="73" t="e">
        <f>AVERAGEIF($E$5:$E$30,$E57,DD$5:DD$30)</f>
        <v>#DIV/0!</v>
      </c>
      <c r="DE57" s="73" t="e">
        <f>AVERAGEIF($E$5:$E$30,$E57,DE$5:DE$30)</f>
        <v>#DIV/0!</v>
      </c>
      <c r="DF57" s="73" t="e">
        <f>AVERAGEIF($E$5:$E$30,$E57,DF$5:DF$30)</f>
        <v>#DIV/0!</v>
      </c>
      <c r="DG57" s="73" t="e">
        <f>AVERAGEIF($E$5:$E$30,$E57,DG$5:DG$30)</f>
        <v>#DIV/0!</v>
      </c>
      <c r="DH57" s="73" t="e">
        <f>AVERAGEIF($E$5:$E$30,$E57,DH$5:DH$30)</f>
        <v>#DIV/0!</v>
      </c>
      <c r="DI57" s="73" t="e">
        <f>AVERAGEIF($E$5:$E$30,$E57,DI$5:DI$30)</f>
        <v>#DIV/0!</v>
      </c>
      <c r="DJ57" s="73" t="e">
        <f>AVERAGEIF($E$5:$E$30,$E57,DJ$5:DJ$30)</f>
        <v>#DIV/0!</v>
      </c>
      <c r="DK57" s="73" t="e">
        <f>AVERAGEIF($E$5:$E$30,$E57,DK$5:DK$30)</f>
        <v>#DIV/0!</v>
      </c>
      <c r="DL57" s="177" t="e">
        <f>#REF!</f>
        <v>#REF!</v>
      </c>
      <c r="DM57" s="177" t="e">
        <f>#REF!</f>
        <v>#REF!</v>
      </c>
      <c r="DN57" s="177" t="e">
        <f>#REF!</f>
        <v>#REF!</v>
      </c>
      <c r="DO57" s="177" t="e">
        <f>#REF!</f>
        <v>#REF!</v>
      </c>
      <c r="DP57" s="162" t="e">
        <f>#REF!</f>
        <v>#REF!</v>
      </c>
    </row>
    <row r="58" spans="1:120" ht="14.25" customHeight="1">
      <c r="A58" s="113"/>
      <c r="E58" s="118"/>
      <c r="I58" s="93"/>
      <c r="J58" s="107" t="e">
        <f t="array" ref="J58">_xlfn.STDEV.P(IF($E$5:$E$30=$E57,J$5:J$30))</f>
        <v>#DIV/0!</v>
      </c>
      <c r="K58" s="107"/>
      <c r="L58" s="107"/>
      <c r="M58" s="107" t="e">
        <f t="array" ref="M58">_xlfn.STDEV.P(IF($E$5:$E$30=$E57,M$5:M$30))</f>
        <v>#DIV/0!</v>
      </c>
      <c r="N58" s="107" t="e">
        <f t="array" ref="N58">_xlfn.STDEV.P(IF($E$5:$E$30=$E57,N$5:N$30))</f>
        <v>#DIV/0!</v>
      </c>
      <c r="O58" s="107" t="e">
        <f t="array" ref="O58">_xlfn.STDEV.P(IF($E$5:$E$30=$E57,O$5:O$30))</f>
        <v>#DIV/0!</v>
      </c>
      <c r="P58" s="107" t="e">
        <f t="array" ref="P58">_xlfn.STDEV.P(IF($E$5:$E$30=$E57,P$5:P$30))</f>
        <v>#DIV/0!</v>
      </c>
      <c r="Q58" s="107" t="e">
        <f t="array" ref="Q58">_xlfn.STDEV.P(IF($E$5:$E$30=$E57,Q$5:Q$30))</f>
        <v>#DIV/0!</v>
      </c>
      <c r="R58" s="107" t="e">
        <f t="array" ref="R58">_xlfn.STDEV.P(IF($E$5:$E$30=$E57,R$5:R$30))</f>
        <v>#DIV/0!</v>
      </c>
      <c r="S58" s="244"/>
      <c r="T58" s="244" t="e">
        <f t="array" ref="T58">_xlfn.STDEV.P(IF($E$5:$E$30=$E57,T$5:T$30))</f>
        <v>#DIV/0!</v>
      </c>
      <c r="U58" s="107" t="e">
        <f t="array" ref="U58">_xlfn.STDEV.P(IF($E$5:$E$30=$E57,U$5:U$30))</f>
        <v>#DIV/0!</v>
      </c>
      <c r="V58" s="72" t="s">
        <v>11</v>
      </c>
      <c r="W58" s="81" t="e">
        <f t="array" ref="W58">_xlfn.STDEV.P(IF($E$5:$E$30=$E57,W$5:W$30))</f>
        <v>#DIV/0!</v>
      </c>
      <c r="X58" s="81" t="e">
        <f t="array" ref="X58">_xlfn.STDEV.P(IF($E$5:$E$30=$E57,X$5:X$30))</f>
        <v>#DIV/0!</v>
      </c>
      <c r="Y58" s="81" t="e">
        <f t="array" ref="Y58">_xlfn.STDEV.P(IF($E$5:$E$30=$E57,Y$5:Y$30))</f>
        <v>#DIV/0!</v>
      </c>
      <c r="Z58" s="81" t="e">
        <f t="array" ref="Z58">_xlfn.STDEV.P(IF($E$5:$E$30=$E57,Z$5:Z$30))</f>
        <v>#DIV/0!</v>
      </c>
      <c r="AA58" s="81" t="e">
        <f t="array" ref="AA58">_xlfn.STDEV.P(IF($E$5:$E$30=$E57,AA$5:AA$30))</f>
        <v>#DIV/0!</v>
      </c>
      <c r="AB58" s="81" t="e">
        <f t="array" ref="AB58">_xlfn.STDEV.P(IF($E$5:$E$30=$E57,AB$5:AB$30))</f>
        <v>#DIV/0!</v>
      </c>
      <c r="AC58" s="81" t="e">
        <f t="array" ref="AC58">_xlfn.STDEV.P(IF($E$5:$E$30=$E57,AC$5:AC$30))</f>
        <v>#DIV/0!</v>
      </c>
      <c r="AD58" s="81" t="e">
        <f t="array" ref="AD58">_xlfn.STDEV.P(IF($E$5:$E$30=$E57,AD$5:AD$30))</f>
        <v>#DIV/0!</v>
      </c>
      <c r="AE58" s="81" t="e">
        <f t="array" ref="AE58">_xlfn.STDEV.P(IF($E$5:$E$30=$E57,AE$5:AE$30))</f>
        <v>#DIV/0!</v>
      </c>
      <c r="AF58" s="81" t="e">
        <f t="array" ref="AF58">_xlfn.STDEV.P(IF($E$5:$E$30=$E57,AF$5:AF$30))</f>
        <v>#DIV/0!</v>
      </c>
      <c r="AG58" s="81" t="e">
        <f t="array" ref="AG58">_xlfn.STDEV.P(IF($E$5:$E$30=$E57,AG$5:AG$30))</f>
        <v>#DIV/0!</v>
      </c>
      <c r="AH58" s="81" t="e">
        <f t="array" ref="AH58">_xlfn.STDEV.P(IF($E$5:$E$30=$E57,AH$5:AH$30))</f>
        <v>#DIV/0!</v>
      </c>
      <c r="AI58" s="81" t="e">
        <f t="array" ref="AI58">_xlfn.STDEV.P(IF($E$5:$E$30=$E57,AI$5:AI$30))</f>
        <v>#DIV/0!</v>
      </c>
      <c r="AJ58" s="81" t="e">
        <f t="array" ref="AJ58">_xlfn.STDEV.P(IF($E$5:$E$30=$E57,AJ$5:AJ$30))</f>
        <v>#DIV/0!</v>
      </c>
      <c r="AK58" s="81" t="e">
        <f t="array" ref="AK58">_xlfn.STDEV.P(IF($E$5:$E$30=$E57,AK$5:AK$30))</f>
        <v>#DIV/0!</v>
      </c>
      <c r="AL58" s="81" t="e">
        <f t="array" ref="AL58">_xlfn.STDEV.P(IF($E$5:$E$30=$E57,AL$5:AL$30))</f>
        <v>#DIV/0!</v>
      </c>
      <c r="AM58" s="81" t="e">
        <f t="array" ref="AM58">_xlfn.STDEV.P(IF($E$5:$E$30=$E57,AM$5:AM$30))</f>
        <v>#DIV/0!</v>
      </c>
      <c r="AN58" s="81" t="e">
        <f t="array" ref="AN58">_xlfn.STDEV.P(IF($E$5:$E$30=$E57,AN$5:AN$30))</f>
        <v>#DIV/0!</v>
      </c>
      <c r="AO58" s="81" t="e">
        <f t="array" ref="AO58">_xlfn.STDEV.P(IF($E$5:$E$30=$E57,AO$5:AO$30))</f>
        <v>#DIV/0!</v>
      </c>
      <c r="AP58" s="81" t="e">
        <f t="array" ref="AP58">_xlfn.STDEV.P(IF($E$5:$E$30=$E57,AP$5:AP$30))</f>
        <v>#DIV/0!</v>
      </c>
      <c r="AQ58" s="81" t="e">
        <f t="array" ref="AQ58">_xlfn.STDEV.P(IF($E$5:$E$30=$E57,AQ$5:AQ$30))</f>
        <v>#DIV/0!</v>
      </c>
      <c r="AR58" s="81" t="e">
        <f t="array" ref="AR58">_xlfn.STDEV.P(IF($E$5:$E$30=$E57,AR$5:AR$30))</f>
        <v>#DIV/0!</v>
      </c>
      <c r="AS58" s="81" t="e">
        <f t="array" ref="AS58">_xlfn.STDEV.P(IF($E$5:$E$30=$E57,AS$5:AS$30))</f>
        <v>#DIV/0!</v>
      </c>
      <c r="AT58" s="81" t="e">
        <f t="array" ref="AT58">_xlfn.STDEV.P(IF($E$5:$E$30=$E57,AT$5:AT$30))</f>
        <v>#DIV/0!</v>
      </c>
      <c r="AU58" s="81" t="e">
        <f t="array" ref="AU58">_xlfn.STDEV.P(IF($E$5:$E$30=$E57,AU$5:AU$30))</f>
        <v>#DIV/0!</v>
      </c>
      <c r="AV58" s="81" t="e">
        <f t="array" ref="AV58">_xlfn.STDEV.P(IF($E$5:$E$30=$E57,AV$5:AV$30))</f>
        <v>#DIV/0!</v>
      </c>
      <c r="AW58" s="81" t="e">
        <f t="array" ref="AW58">_xlfn.STDEV.P(IF($E$5:$E$30=$E57,AW$5:AW$30))</f>
        <v>#DIV/0!</v>
      </c>
      <c r="AX58" s="81" t="e">
        <f t="array" ref="AX58">_xlfn.STDEV.P(IF($E$5:$E$30=$E57,AX$5:AX$30))</f>
        <v>#DIV/0!</v>
      </c>
      <c r="AY58" s="81" t="e">
        <f t="array" ref="AY58">_xlfn.STDEV.P(IF($E$5:$E$30=$E57,AY$5:AY$30))</f>
        <v>#DIV/0!</v>
      </c>
      <c r="AZ58" s="81" t="e">
        <f t="array" ref="AZ58">_xlfn.STDEV.P(IF($E$5:$E$30=$E57,AZ$5:AZ$30))</f>
        <v>#DIV/0!</v>
      </c>
      <c r="BA58" s="81" t="e">
        <f t="array" ref="BA58">_xlfn.STDEV.P(IF($E$5:$E$30=$E57,BA$5:BA$30))</f>
        <v>#DIV/0!</v>
      </c>
      <c r="BB58" s="81" t="e">
        <f t="array" ref="BB58">_xlfn.STDEV.P(IF($E$5:$E$30=$E57,BB$5:BB$30))</f>
        <v>#DIV/0!</v>
      </c>
      <c r="BC58" s="81" t="e">
        <f t="array" ref="BC58">_xlfn.STDEV.P(IF($E$5:$E$30=$E57,BC$5:BC$30))</f>
        <v>#DIV/0!</v>
      </c>
      <c r="BD58" s="81" t="e">
        <f t="array" ref="BD58">_xlfn.STDEV.P(IF($E$5:$E$30=$E57,BD$5:BD$30))</f>
        <v>#DIV/0!</v>
      </c>
      <c r="BE58" s="81" t="e">
        <f t="array" ref="BE58">_xlfn.STDEV.P(IF($E$5:$E$30=$E57,BE$5:BE$30))</f>
        <v>#DIV/0!</v>
      </c>
      <c r="BF58" s="81" t="e">
        <f t="array" ref="BF58">_xlfn.STDEV.P(IF($E$5:$E$30=$E57,BF$5:BF$30))</f>
        <v>#DIV/0!</v>
      </c>
      <c r="BG58" s="81" t="e">
        <f t="array" ref="BG58">_xlfn.STDEV.P(IF($E$5:$E$30=$E57,BG$5:BG$30))</f>
        <v>#DIV/0!</v>
      </c>
      <c r="BH58" s="81" t="e">
        <f t="array" ref="BH58">_xlfn.STDEV.P(IF($E$5:$E$30=$E57,BH$5:BH$30))</f>
        <v>#DIV/0!</v>
      </c>
      <c r="BI58" s="81" t="e">
        <f t="array" ref="BI58">_xlfn.STDEV.P(IF($E$5:$E$30=$E57,BI$5:BI$30))</f>
        <v>#DIV/0!</v>
      </c>
      <c r="BJ58" s="81" t="e">
        <f t="array" ref="BJ58">_xlfn.STDEV.P(IF($E$5:$E$30=$E57,BJ$5:BJ$30))</f>
        <v>#DIV/0!</v>
      </c>
      <c r="BK58" s="81" t="e">
        <f t="array" ref="BK58">_xlfn.STDEV.P(IF($E$5:$E$30=$E57,BK$5:BK$30))</f>
        <v>#DIV/0!</v>
      </c>
      <c r="BL58" s="81" t="e">
        <f t="array" ref="BL58">_xlfn.STDEV.P(IF($E$5:$E$30=$E57,BL$5:BL$30))</f>
        <v>#DIV/0!</v>
      </c>
      <c r="BM58" s="81" t="e">
        <f t="array" ref="BM58">_xlfn.STDEV.P(IF($E$5:$E$30=$E57,BM$5:BM$30))</f>
        <v>#DIV/0!</v>
      </c>
      <c r="BN58" s="81" t="e">
        <f t="array" ref="BN58">_xlfn.STDEV.P(IF($E$5:$E$30=$E57,BN$5:BN$30))</f>
        <v>#DIV/0!</v>
      </c>
      <c r="BO58" s="81" t="e">
        <f t="array" ref="BO58">_xlfn.STDEV.P(IF($E$5:$E$30=$E57,BO$5:BO$30))</f>
        <v>#DIV/0!</v>
      </c>
      <c r="BP58" s="81" t="e">
        <f t="array" ref="BP58">_xlfn.STDEV.P(IF($E$5:$E$30=$E57,BP$5:BP$30))</f>
        <v>#DIV/0!</v>
      </c>
      <c r="BQ58" s="104" t="s">
        <v>11</v>
      </c>
      <c r="BR58" s="74" t="e">
        <f t="array" ref="BR58">_xlfn.STDEV.P(IF($E$5:$E$30=$E57,BR$5:BR$30))</f>
        <v>#DIV/0!</v>
      </c>
      <c r="BS58" s="74" t="e">
        <f t="array" ref="BS58">_xlfn.STDEV.P(IF($E$5:$E$30=$E57,BS$5:BS$30))</f>
        <v>#DIV/0!</v>
      </c>
      <c r="BT58" s="74" t="e">
        <f t="array" ref="BT58">_xlfn.STDEV.P(IF($E$5:$E$30=$E57,BT$5:BT$30))</f>
        <v>#DIV/0!</v>
      </c>
      <c r="BU58" s="74" t="e">
        <f t="array" ref="BU58">_xlfn.STDEV.P(IF($E$5:$E$30=$E57,BU$5:BU$30))</f>
        <v>#DIV/0!</v>
      </c>
      <c r="BV58" s="74" t="e">
        <f t="array" ref="BV58">_xlfn.STDEV.P(IF($E$5:$E$30=$E57,BV$5:BV$30))</f>
        <v>#DIV/0!</v>
      </c>
      <c r="BW58" s="74" t="e">
        <f t="array" ref="BW58">_xlfn.STDEV.P(IF($E$5:$E$30=$E57,BW$5:BW$30))</f>
        <v>#DIV/0!</v>
      </c>
      <c r="BX58" s="74" t="e">
        <f t="array" ref="BX58">_xlfn.STDEV.P(IF($E$5:$E$30=$E57,BX$5:BX$30))</f>
        <v>#DIV/0!</v>
      </c>
      <c r="BY58" s="74" t="e">
        <f t="array" ref="BY58">_xlfn.STDEV.P(IF($E$5:$E$30=$E57,BY$5:BY$30))</f>
        <v>#DIV/0!</v>
      </c>
      <c r="BZ58" s="74" t="e">
        <f t="array" ref="BZ58">_xlfn.STDEV.P(IF($E$5:$E$30=$E57,BZ$5:BZ$30))</f>
        <v>#DIV/0!</v>
      </c>
      <c r="CA58" s="74" t="e">
        <f t="array" ref="CA58">_xlfn.STDEV.P(IF($E$5:$E$30=$E57,CA$5:CA$30))</f>
        <v>#DIV/0!</v>
      </c>
      <c r="CB58" s="74" t="e">
        <f t="array" ref="CB58">_xlfn.STDEV.P(IF($E$5:$E$30=$E57,CB$5:CB$30))</f>
        <v>#DIV/0!</v>
      </c>
      <c r="CC58" s="74" t="e">
        <f t="array" ref="CC58">_xlfn.STDEV.P(IF($E$5:$E$30=$E57,CC$5:CC$30))</f>
        <v>#DIV/0!</v>
      </c>
      <c r="CD58" s="74" t="e">
        <f t="array" ref="CD58">_xlfn.STDEV.P(IF($E$5:$E$30=$E57,CD$5:CD$30))</f>
        <v>#DIV/0!</v>
      </c>
      <c r="CE58" s="74" t="e">
        <f t="array" ref="CE58">_xlfn.STDEV.P(IF($E$5:$E$30=$E57,CE$5:CE$30))</f>
        <v>#DIV/0!</v>
      </c>
      <c r="CF58" s="74" t="e">
        <f t="array" ref="CF58">_xlfn.STDEV.P(IF($E$5:$E$30=$E57,CF$5:CF$30))</f>
        <v>#DIV/0!</v>
      </c>
      <c r="CG58" s="74" t="e">
        <f t="array" ref="CG58">_xlfn.STDEV.P(IF($E$5:$E$30=$E57,CG$5:CG$30))</f>
        <v>#DIV/0!</v>
      </c>
      <c r="CH58" s="74" t="e">
        <f t="array" ref="CH58">_xlfn.STDEV.P(IF($E$5:$E$30=$E57,CH$5:CH$30))</f>
        <v>#DIV/0!</v>
      </c>
      <c r="CI58" s="74" t="e">
        <f t="array" ref="CI58">_xlfn.STDEV.P(IF($E$5:$E$30=$E57,CI$5:CI$30))</f>
        <v>#DIV/0!</v>
      </c>
      <c r="CJ58" s="74" t="e">
        <f t="array" ref="CJ58">_xlfn.STDEV.P(IF($E$5:$E$30=$E57,CJ$5:CJ$30))</f>
        <v>#DIV/0!</v>
      </c>
      <c r="CK58" s="74" t="e">
        <f t="array" ref="CK58">_xlfn.STDEV.P(IF($E$5:$E$30=$E57,CK$5:CK$30))</f>
        <v>#DIV/0!</v>
      </c>
      <c r="CL58" s="74" t="e">
        <f t="array" ref="CL58">_xlfn.STDEV.P(IF($E$5:$E$30=$E57,CL$5:CL$30))</f>
        <v>#DIV/0!</v>
      </c>
      <c r="CM58" s="74" t="e">
        <f t="array" ref="CM58">_xlfn.STDEV.P(IF($E$5:$E$30=$E57,CM$5:CM$30))</f>
        <v>#DIV/0!</v>
      </c>
      <c r="CN58" s="74" t="e">
        <f t="array" ref="CN58">_xlfn.STDEV.P(IF($E$5:$E$30=$E57,CN$5:CN$30))</f>
        <v>#DIV/0!</v>
      </c>
      <c r="CO58" s="74" t="e">
        <f t="array" ref="CO58">_xlfn.STDEV.P(IF($E$5:$E$30=$E57,CO$5:CO$30))</f>
        <v>#DIV/0!</v>
      </c>
      <c r="CP58" s="74" t="e">
        <f t="array" ref="CP58">_xlfn.STDEV.P(IF($E$5:$E$30=$E57,CP$5:CP$30))</f>
        <v>#DIV/0!</v>
      </c>
      <c r="CQ58" s="74" t="e">
        <f t="array" ref="CQ58">_xlfn.STDEV.P(IF($E$5:$E$30=$E57,CQ$5:CQ$30))</f>
        <v>#DIV/0!</v>
      </c>
      <c r="CR58" s="74" t="e">
        <f t="array" ref="CR58">_xlfn.STDEV.P(IF($E$5:$E$30=$E57,CR$5:CR$30))</f>
        <v>#DIV/0!</v>
      </c>
      <c r="CS58" s="74" t="e">
        <f t="array" ref="CS58">_xlfn.STDEV.P(IF($E$5:$E$30=$E57,CS$5:CS$30))</f>
        <v>#DIV/0!</v>
      </c>
      <c r="CT58" s="74" t="e">
        <f t="array" ref="CT58">_xlfn.STDEV.P(IF($E$5:$E$30=$E57,CT$5:CT$30))</f>
        <v>#DIV/0!</v>
      </c>
      <c r="CU58" s="74" t="e">
        <f t="array" ref="CU58">_xlfn.STDEV.P(IF($E$5:$E$30=$E57,CU$5:CU$30))</f>
        <v>#DIV/0!</v>
      </c>
      <c r="CV58" s="74" t="e">
        <f t="array" ref="CV58">_xlfn.STDEV.P(IF($E$5:$E$30=$E57,CV$5:CV$30))</f>
        <v>#DIV/0!</v>
      </c>
      <c r="CW58" s="74" t="e">
        <f t="array" ref="CW58">_xlfn.STDEV.P(IF($E$5:$E$30=$E57,CW$5:CW$30))</f>
        <v>#DIV/0!</v>
      </c>
      <c r="CX58" s="74" t="e">
        <f t="array" ref="CX58">_xlfn.STDEV.P(IF($E$5:$E$30=$E57,CX$5:CX$30))</f>
        <v>#DIV/0!</v>
      </c>
      <c r="CY58" s="74" t="e">
        <f t="array" ref="CY58">_xlfn.STDEV.P(IF($E$5:$E$30=$E57,CY$5:CY$30))</f>
        <v>#DIV/0!</v>
      </c>
      <c r="CZ58" s="74" t="e">
        <f t="array" ref="CZ58">_xlfn.STDEV.P(IF($E$5:$E$30=$E57,CZ$5:CZ$30))</f>
        <v>#DIV/0!</v>
      </c>
      <c r="DA58" s="74" t="e">
        <f t="array" ref="DA58">_xlfn.STDEV.P(IF($E$5:$E$30=$E57,DA$5:DA$30))</f>
        <v>#DIV/0!</v>
      </c>
      <c r="DB58" s="74" t="e">
        <f t="array" ref="DB58">_xlfn.STDEV.P(IF($E$5:$E$30=$E57,DB$5:DB$30))</f>
        <v>#DIV/0!</v>
      </c>
      <c r="DC58" s="74" t="e">
        <f t="array" ref="DC58">_xlfn.STDEV.P(IF($E$5:$E$30=$E57,DC$5:DC$30))</f>
        <v>#DIV/0!</v>
      </c>
      <c r="DD58" s="74" t="e">
        <f t="array" ref="DD58">_xlfn.STDEV.P(IF($E$5:$E$30=$E57,DD$5:DD$30))</f>
        <v>#DIV/0!</v>
      </c>
      <c r="DE58" s="74" t="e">
        <f t="array" ref="DE58">_xlfn.STDEV.P(IF($E$5:$E$30=$E57,DE$5:DE$30))</f>
        <v>#DIV/0!</v>
      </c>
      <c r="DF58" s="74" t="e">
        <f t="array" ref="DF58">_xlfn.STDEV.P(IF($E$5:$E$30=$E57,DF$5:DF$30))</f>
        <v>#DIV/0!</v>
      </c>
      <c r="DG58" s="74" t="e">
        <f t="array" ref="DG58">_xlfn.STDEV.P(IF($E$5:$E$30=$E57,DG$5:DG$30))</f>
        <v>#DIV/0!</v>
      </c>
      <c r="DH58" s="74" t="e">
        <f t="array" ref="DH58">_xlfn.STDEV.P(IF($E$5:$E$30=$E57,DH$5:DH$30))</f>
        <v>#DIV/0!</v>
      </c>
      <c r="DI58" s="74" t="e">
        <f t="array" ref="DI58">_xlfn.STDEV.P(IF($E$5:$E$30=$E57,DI$5:DI$30))</f>
        <v>#DIV/0!</v>
      </c>
      <c r="DJ58" s="74" t="e">
        <f t="array" ref="DJ58">_xlfn.STDEV.P(IF($E$5:$E$30=$E57,DJ$5:DJ$30))</f>
        <v>#DIV/0!</v>
      </c>
      <c r="DK58" s="74" t="e">
        <f t="array" ref="DK58">_xlfn.STDEV.P(IF($E$5:$E$30=$E57,DK$5:DK$30))</f>
        <v>#DIV/0!</v>
      </c>
      <c r="DL58" s="177" t="e">
        <f>#REF!</f>
        <v>#REF!</v>
      </c>
      <c r="DM58" s="177" t="e">
        <f>#REF!</f>
        <v>#REF!</v>
      </c>
      <c r="DN58" s="177" t="e">
        <f>#REF!</f>
        <v>#REF!</v>
      </c>
      <c r="DO58" s="177" t="e">
        <f>#REF!</f>
        <v>#REF!</v>
      </c>
      <c r="DP58" s="162" t="e">
        <f>#REF!</f>
        <v>#REF!</v>
      </c>
    </row>
    <row r="59" spans="1:120" ht="15">
      <c r="A59" s="113"/>
      <c r="E59" s="118"/>
      <c r="I59" s="52"/>
      <c r="K59" s="57"/>
      <c r="L59" s="57"/>
      <c r="P59" s="57"/>
      <c r="Q59" s="57"/>
      <c r="R59" s="57"/>
      <c r="S59" s="243"/>
      <c r="T59" s="243"/>
      <c r="U59" s="57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DF59" s="44"/>
      <c r="DG59" s="44"/>
      <c r="DH59" s="44"/>
      <c r="DI59" s="44"/>
      <c r="DJ59" s="44"/>
      <c r="DK59" s="44"/>
      <c r="DL59" s="177"/>
      <c r="DM59" s="177"/>
      <c r="DN59" s="177"/>
      <c r="DO59" s="177"/>
    </row>
    <row r="60" spans="1:120" ht="14.25" customHeight="1">
      <c r="A60" s="113"/>
      <c r="E60" s="118" t="str">
        <f>'FIG6 Groups'!C13</f>
        <v>Group 8</v>
      </c>
      <c r="I60" s="118" t="str">
        <f>E60</f>
        <v>Group 8</v>
      </c>
      <c r="J60" s="107" t="e">
        <f>AVERAGEIF($E$5:$E$30,$E60,J$5:J$30)</f>
        <v>#DIV/0!</v>
      </c>
      <c r="K60" s="107"/>
      <c r="L60" s="107"/>
      <c r="M60" s="107" t="e">
        <f>AVERAGEIF($E$5:$E$30,$E60,M$5:M$30)</f>
        <v>#DIV/0!</v>
      </c>
      <c r="N60" s="107" t="e">
        <f>AVERAGEIF($E$5:$E$30,$E60,N$5:N$30)</f>
        <v>#DIV/0!</v>
      </c>
      <c r="O60" s="107" t="e">
        <f>AVERAGEIF($E$5:$E$30,$E60,O$5:O$30)</f>
        <v>#DIV/0!</v>
      </c>
      <c r="P60" s="107" t="e">
        <f>AVERAGEIF($E$5:$E$30,$E60,P$5:P$30)</f>
        <v>#DIV/0!</v>
      </c>
      <c r="Q60" s="107" t="e">
        <f>AVERAGEIF($E$5:$E$30,$E60,Q$5:Q$30)</f>
        <v>#DIV/0!</v>
      </c>
      <c r="R60" s="107" t="e">
        <f>AVERAGEIF($E$5:$E$30,$E60,R$5:R$30)</f>
        <v>#DIV/0!</v>
      </c>
      <c r="S60" s="244"/>
      <c r="T60" s="244" t="e">
        <f>AVERAGEIF($E$5:$E$30,$E60,T$5:T$30)</f>
        <v>#DIV/0!</v>
      </c>
      <c r="U60" s="107" t="e">
        <f>AVERAGEIF($E$5:$E$30,$E60,U$5:U$30)</f>
        <v>#DIV/0!</v>
      </c>
      <c r="V60" s="72" t="s">
        <v>9</v>
      </c>
      <c r="W60" s="78" t="e">
        <f>AVERAGEIF($E$5:$E$30,$E60,W$5:W$30)</f>
        <v>#DIV/0!</v>
      </c>
      <c r="X60" s="78" t="e">
        <f>AVERAGEIF($E$5:$E$30,$E60,X$5:X$30)</f>
        <v>#DIV/0!</v>
      </c>
      <c r="Y60" s="78" t="e">
        <f>AVERAGEIF($E$5:$E$30,$E60,Y$5:Y$30)</f>
        <v>#DIV/0!</v>
      </c>
      <c r="Z60" s="78" t="e">
        <f>AVERAGEIF($E$5:$E$30,$E60,Z$5:Z$30)</f>
        <v>#DIV/0!</v>
      </c>
      <c r="AA60" s="78" t="e">
        <f>AVERAGEIF($E$5:$E$30,$E60,AA$5:AA$30)</f>
        <v>#DIV/0!</v>
      </c>
      <c r="AB60" s="78" t="e">
        <f>AVERAGEIF($E$5:$E$30,$E60,AB$5:AB$30)</f>
        <v>#DIV/0!</v>
      </c>
      <c r="AC60" s="78" t="e">
        <f>AVERAGEIF($E$5:$E$30,$E60,AC$5:AC$30)</f>
        <v>#DIV/0!</v>
      </c>
      <c r="AD60" s="78" t="e">
        <f>AVERAGEIF($E$5:$E$30,$E60,AD$5:AD$30)</f>
        <v>#DIV/0!</v>
      </c>
      <c r="AE60" s="78" t="e">
        <f>AVERAGEIF($E$5:$E$30,$E60,AE$5:AE$30)</f>
        <v>#DIV/0!</v>
      </c>
      <c r="AF60" s="78" t="e">
        <f>AVERAGEIF($E$5:$E$30,$E60,AF$5:AF$30)</f>
        <v>#DIV/0!</v>
      </c>
      <c r="AG60" s="78" t="e">
        <f>AVERAGEIF($E$5:$E$30,$E60,AG$5:AG$30)</f>
        <v>#DIV/0!</v>
      </c>
      <c r="AH60" s="78" t="e">
        <f>AVERAGEIF($E$5:$E$30,$E60,AH$5:AH$30)</f>
        <v>#DIV/0!</v>
      </c>
      <c r="AI60" s="78" t="e">
        <f>AVERAGEIF($E$5:$E$30,$E60,AI$5:AI$30)</f>
        <v>#DIV/0!</v>
      </c>
      <c r="AJ60" s="78" t="e">
        <f>AVERAGEIF($E$5:$E$30,$E60,AJ$5:AJ$30)</f>
        <v>#DIV/0!</v>
      </c>
      <c r="AK60" s="78" t="e">
        <f>AVERAGEIF($E$5:$E$30,$E60,AK$5:AK$30)</f>
        <v>#DIV/0!</v>
      </c>
      <c r="AL60" s="78" t="e">
        <f>AVERAGEIF($E$5:$E$30,$E60,AL$5:AL$30)</f>
        <v>#DIV/0!</v>
      </c>
      <c r="AM60" s="78" t="e">
        <f>AVERAGEIF($E$5:$E$30,$E60,AM$5:AM$30)</f>
        <v>#DIV/0!</v>
      </c>
      <c r="AN60" s="78" t="e">
        <f>AVERAGEIF($E$5:$E$30,$E60,AN$5:AN$30)</f>
        <v>#DIV/0!</v>
      </c>
      <c r="AO60" s="78" t="e">
        <f>AVERAGEIF($E$5:$E$30,$E60,AO$5:AO$30)</f>
        <v>#DIV/0!</v>
      </c>
      <c r="AP60" s="78" t="e">
        <f>AVERAGEIF($E$5:$E$30,$E60,AP$5:AP$30)</f>
        <v>#DIV/0!</v>
      </c>
      <c r="AQ60" s="78" t="e">
        <f>AVERAGEIF($E$5:$E$30,$E60,AQ$5:AQ$30)</f>
        <v>#DIV/0!</v>
      </c>
      <c r="AR60" s="78" t="e">
        <f>AVERAGEIF($E$5:$E$30,$E60,AR$5:AR$30)</f>
        <v>#DIV/0!</v>
      </c>
      <c r="AS60" s="78" t="e">
        <f>AVERAGEIF($E$5:$E$30,$E60,AS$5:AS$30)</f>
        <v>#DIV/0!</v>
      </c>
      <c r="AT60" s="78" t="e">
        <f>AVERAGEIF($E$5:$E$30,$E60,AT$5:AT$30)</f>
        <v>#DIV/0!</v>
      </c>
      <c r="AU60" s="78" t="e">
        <f>AVERAGEIF($E$5:$E$30,$E60,AU$5:AU$30)</f>
        <v>#DIV/0!</v>
      </c>
      <c r="AV60" s="78" t="e">
        <f>AVERAGEIF($E$5:$E$30,$E60,AV$5:AV$30)</f>
        <v>#DIV/0!</v>
      </c>
      <c r="AW60" s="78" t="e">
        <f>AVERAGEIF($E$5:$E$30,$E60,AW$5:AW$30)</f>
        <v>#DIV/0!</v>
      </c>
      <c r="AX60" s="78" t="e">
        <f>AVERAGEIF($E$5:$E$30,$E60,AX$5:AX$30)</f>
        <v>#DIV/0!</v>
      </c>
      <c r="AY60" s="78" t="e">
        <f>AVERAGEIF($E$5:$E$30,$E60,AY$5:AY$30)</f>
        <v>#DIV/0!</v>
      </c>
      <c r="AZ60" s="78" t="e">
        <f>AVERAGEIF($E$5:$E$30,$E60,AZ$5:AZ$30)</f>
        <v>#DIV/0!</v>
      </c>
      <c r="BA60" s="78" t="e">
        <f>AVERAGEIF($E$5:$E$30,$E60,BA$5:BA$30)</f>
        <v>#DIV/0!</v>
      </c>
      <c r="BB60" s="78" t="e">
        <f>AVERAGEIF($E$5:$E$30,$E60,BB$5:BB$30)</f>
        <v>#DIV/0!</v>
      </c>
      <c r="BC60" s="78" t="e">
        <f>AVERAGEIF($E$5:$E$30,$E60,BC$5:BC$30)</f>
        <v>#DIV/0!</v>
      </c>
      <c r="BD60" s="78" t="e">
        <f>AVERAGEIF($E$5:$E$30,$E60,BD$5:BD$30)</f>
        <v>#DIV/0!</v>
      </c>
      <c r="BE60" s="78" t="e">
        <f>AVERAGEIF($E$5:$E$30,$E60,BE$5:BE$30)</f>
        <v>#DIV/0!</v>
      </c>
      <c r="BF60" s="78" t="e">
        <f>AVERAGEIF($E$5:$E$30,$E60,BF$5:BF$30)</f>
        <v>#DIV/0!</v>
      </c>
      <c r="BG60" s="78" t="e">
        <f>AVERAGEIF($E$5:$E$30,$E60,BG$5:BG$30)</f>
        <v>#DIV/0!</v>
      </c>
      <c r="BH60" s="78" t="e">
        <f>AVERAGEIF($E$5:$E$30,$E60,BH$5:BH$30)</f>
        <v>#DIV/0!</v>
      </c>
      <c r="BI60" s="78" t="e">
        <f>AVERAGEIF($E$5:$E$30,$E60,BI$5:BI$30)</f>
        <v>#DIV/0!</v>
      </c>
      <c r="BJ60" s="78" t="e">
        <f>AVERAGEIF($E$5:$E$30,$E60,BJ$5:BJ$30)</f>
        <v>#DIV/0!</v>
      </c>
      <c r="BK60" s="78" t="e">
        <f>AVERAGEIF($E$5:$E$30,$E60,BK$5:BK$30)</f>
        <v>#DIV/0!</v>
      </c>
      <c r="BL60" s="78" t="e">
        <f>AVERAGEIF($E$5:$E$30,$E60,BL$5:BL$30)</f>
        <v>#DIV/0!</v>
      </c>
      <c r="BM60" s="78" t="e">
        <f>AVERAGEIF($E$5:$E$30,$E60,BM$5:BM$30)</f>
        <v>#DIV/0!</v>
      </c>
      <c r="BN60" s="78" t="e">
        <f>AVERAGEIF($E$5:$E$30,$E60,BN$5:BN$30)</f>
        <v>#DIV/0!</v>
      </c>
      <c r="BO60" s="78" t="e">
        <f>AVERAGEIF($E$5:$E$30,$E60,BO$5:BO$30)</f>
        <v>#DIV/0!</v>
      </c>
      <c r="BP60" s="78" t="e">
        <f>AVERAGEIF($E$5:$E$30,$E60,BP$5:BP$30)</f>
        <v>#DIV/0!</v>
      </c>
      <c r="BQ60" s="103" t="s">
        <v>9</v>
      </c>
      <c r="BR60" s="73" t="e">
        <f>AVERAGEIF($E$5:$E$30,$E60,BR$5:BR$30)</f>
        <v>#DIV/0!</v>
      </c>
      <c r="BS60" s="73" t="e">
        <f>AVERAGEIF($E$5:$E$30,$E60,BS$5:BS$30)</f>
        <v>#DIV/0!</v>
      </c>
      <c r="BT60" s="73" t="e">
        <f>AVERAGEIF($E$5:$E$30,$E60,BT$5:BT$30)</f>
        <v>#DIV/0!</v>
      </c>
      <c r="BU60" s="73" t="e">
        <f>AVERAGEIF($E$5:$E$30,$E60,BU$5:BU$30)</f>
        <v>#DIV/0!</v>
      </c>
      <c r="BV60" s="73" t="e">
        <f>AVERAGEIF($E$5:$E$30,$E60,BV$5:BV$30)</f>
        <v>#DIV/0!</v>
      </c>
      <c r="BW60" s="73" t="e">
        <f>AVERAGEIF($E$5:$E$30,$E60,BW$5:BW$30)</f>
        <v>#DIV/0!</v>
      </c>
      <c r="BX60" s="73" t="e">
        <f>AVERAGEIF($E$5:$E$30,$E60,BX$5:BX$30)</f>
        <v>#DIV/0!</v>
      </c>
      <c r="BY60" s="73" t="e">
        <f>AVERAGEIF($E$5:$E$30,$E60,BY$5:BY$30)</f>
        <v>#DIV/0!</v>
      </c>
      <c r="BZ60" s="73" t="e">
        <f>AVERAGEIF($E$5:$E$30,$E60,BZ$5:BZ$30)</f>
        <v>#DIV/0!</v>
      </c>
      <c r="CA60" s="73" t="e">
        <f>AVERAGEIF($E$5:$E$30,$E60,CA$5:CA$30)</f>
        <v>#DIV/0!</v>
      </c>
      <c r="CB60" s="73" t="e">
        <f>AVERAGEIF($E$5:$E$30,$E60,CB$5:CB$30)</f>
        <v>#DIV/0!</v>
      </c>
      <c r="CC60" s="73" t="e">
        <f>AVERAGEIF($E$5:$E$30,$E60,CC$5:CC$30)</f>
        <v>#DIV/0!</v>
      </c>
      <c r="CD60" s="73" t="e">
        <f>AVERAGEIF($E$5:$E$30,$E60,CD$5:CD$30)</f>
        <v>#DIV/0!</v>
      </c>
      <c r="CE60" s="73" t="e">
        <f>AVERAGEIF($E$5:$E$30,$E60,CE$5:CE$30)</f>
        <v>#DIV/0!</v>
      </c>
      <c r="CF60" s="73" t="e">
        <f>AVERAGEIF($E$5:$E$30,$E60,CF$5:CF$30)</f>
        <v>#DIV/0!</v>
      </c>
      <c r="CG60" s="73" t="e">
        <f>AVERAGEIF($E$5:$E$30,$E60,CG$5:CG$30)</f>
        <v>#DIV/0!</v>
      </c>
      <c r="CH60" s="73" t="e">
        <f>AVERAGEIF($E$5:$E$30,$E60,CH$5:CH$30)</f>
        <v>#DIV/0!</v>
      </c>
      <c r="CI60" s="73" t="e">
        <f>AVERAGEIF($E$5:$E$30,$E60,CI$5:CI$30)</f>
        <v>#DIV/0!</v>
      </c>
      <c r="CJ60" s="73" t="e">
        <f>AVERAGEIF($E$5:$E$30,$E60,CJ$5:CJ$30)</f>
        <v>#DIV/0!</v>
      </c>
      <c r="CK60" s="73" t="e">
        <f>AVERAGEIF($E$5:$E$30,$E60,CK$5:CK$30)</f>
        <v>#DIV/0!</v>
      </c>
      <c r="CL60" s="73" t="e">
        <f>AVERAGEIF($E$5:$E$30,$E60,CL$5:CL$30)</f>
        <v>#DIV/0!</v>
      </c>
      <c r="CM60" s="73" t="e">
        <f>AVERAGEIF($E$5:$E$30,$E60,CM$5:CM$30)</f>
        <v>#DIV/0!</v>
      </c>
      <c r="CN60" s="73" t="e">
        <f>AVERAGEIF($E$5:$E$30,$E60,CN$5:CN$30)</f>
        <v>#DIV/0!</v>
      </c>
      <c r="CO60" s="73" t="e">
        <f>AVERAGEIF($E$5:$E$30,$E60,CO$5:CO$30)</f>
        <v>#DIV/0!</v>
      </c>
      <c r="CP60" s="73" t="e">
        <f>AVERAGEIF($E$5:$E$30,$E60,CP$5:CP$30)</f>
        <v>#DIV/0!</v>
      </c>
      <c r="CQ60" s="73" t="e">
        <f>AVERAGEIF($E$5:$E$30,$E60,CQ$5:CQ$30)</f>
        <v>#DIV/0!</v>
      </c>
      <c r="CR60" s="73" t="e">
        <f>AVERAGEIF($E$5:$E$30,$E60,CR$5:CR$30)</f>
        <v>#DIV/0!</v>
      </c>
      <c r="CS60" s="73" t="e">
        <f>AVERAGEIF($E$5:$E$30,$E60,CS$5:CS$30)</f>
        <v>#DIV/0!</v>
      </c>
      <c r="CT60" s="73" t="e">
        <f>AVERAGEIF($E$5:$E$30,$E60,CT$5:CT$30)</f>
        <v>#DIV/0!</v>
      </c>
      <c r="CU60" s="73" t="e">
        <f>AVERAGEIF($E$5:$E$30,$E60,CU$5:CU$30)</f>
        <v>#DIV/0!</v>
      </c>
      <c r="CV60" s="73" t="e">
        <f>AVERAGEIF($E$5:$E$30,$E60,CV$5:CV$30)</f>
        <v>#DIV/0!</v>
      </c>
      <c r="CW60" s="73" t="e">
        <f>AVERAGEIF($E$5:$E$30,$E60,CW$5:CW$30)</f>
        <v>#DIV/0!</v>
      </c>
      <c r="CX60" s="73" t="e">
        <f>AVERAGEIF($E$5:$E$30,$E60,CX$5:CX$30)</f>
        <v>#DIV/0!</v>
      </c>
      <c r="CY60" s="73" t="e">
        <f>AVERAGEIF($E$5:$E$30,$E60,CY$5:CY$30)</f>
        <v>#DIV/0!</v>
      </c>
      <c r="CZ60" s="73" t="e">
        <f>AVERAGEIF($E$5:$E$30,$E60,CZ$5:CZ$30)</f>
        <v>#DIV/0!</v>
      </c>
      <c r="DA60" s="73" t="e">
        <f>AVERAGEIF($E$5:$E$30,$E60,DA$5:DA$30)</f>
        <v>#DIV/0!</v>
      </c>
      <c r="DB60" s="73" t="e">
        <f>AVERAGEIF($E$5:$E$30,$E60,DB$5:DB$30)</f>
        <v>#DIV/0!</v>
      </c>
      <c r="DC60" s="73" t="e">
        <f>AVERAGEIF($E$5:$E$30,$E60,DC$5:DC$30)</f>
        <v>#DIV/0!</v>
      </c>
      <c r="DD60" s="73" t="e">
        <f>AVERAGEIF($E$5:$E$30,$E60,DD$5:DD$30)</f>
        <v>#DIV/0!</v>
      </c>
      <c r="DE60" s="73" t="e">
        <f>AVERAGEIF($E$5:$E$30,$E60,DE$5:DE$30)</f>
        <v>#DIV/0!</v>
      </c>
      <c r="DF60" s="73" t="e">
        <f>AVERAGEIF($E$5:$E$30,$E60,DF$5:DF$30)</f>
        <v>#DIV/0!</v>
      </c>
      <c r="DG60" s="73" t="e">
        <f>AVERAGEIF($E$5:$E$30,$E60,DG$5:DG$30)</f>
        <v>#DIV/0!</v>
      </c>
      <c r="DH60" s="73" t="e">
        <f>AVERAGEIF($E$5:$E$30,$E60,DH$5:DH$30)</f>
        <v>#DIV/0!</v>
      </c>
      <c r="DI60" s="73" t="e">
        <f>AVERAGEIF($E$5:$E$30,$E60,DI$5:DI$30)</f>
        <v>#DIV/0!</v>
      </c>
      <c r="DJ60" s="73" t="e">
        <f>AVERAGEIF($E$5:$E$30,$E60,DJ$5:DJ$30)</f>
        <v>#DIV/0!</v>
      </c>
      <c r="DK60" s="73" t="e">
        <f>AVERAGEIF($E$5:$E$30,$E60,DK$5:DK$30)</f>
        <v>#DIV/0!</v>
      </c>
      <c r="DL60" s="178" t="e">
        <f t="shared" ref="DL60:DO60" si="93">SQRT(DL39*DL58-(DL38^2*DL57^2))</f>
        <v>#REF!</v>
      </c>
      <c r="DM60" s="178" t="e">
        <f t="shared" si="93"/>
        <v>#REF!</v>
      </c>
      <c r="DN60" s="178" t="e">
        <f t="shared" si="93"/>
        <v>#REF!</v>
      </c>
      <c r="DO60" s="178" t="e">
        <f t="shared" si="93"/>
        <v>#REF!</v>
      </c>
      <c r="DP60" s="148" t="e">
        <f>SQRT(DP47*DP58-(DP46^2*DP57^2))</f>
        <v>#REF!</v>
      </c>
    </row>
    <row r="61" spans="1:120" ht="14.25" customHeight="1">
      <c r="A61" s="113"/>
      <c r="E61" s="93"/>
      <c r="I61" s="93"/>
      <c r="J61" s="107" t="e">
        <f t="array" ref="J61">_xlfn.STDEV.P(IF($E$5:$E$30=$E60,J$5:J$30))</f>
        <v>#DIV/0!</v>
      </c>
      <c r="K61" s="107"/>
      <c r="L61" s="107"/>
      <c r="M61" s="107" t="e">
        <f t="array" ref="M61">_xlfn.STDEV.P(IF($E$5:$E$30=$E60,M$5:M$30))</f>
        <v>#DIV/0!</v>
      </c>
      <c r="N61" s="107" t="e">
        <f t="array" ref="N61">_xlfn.STDEV.P(IF($E$5:$E$30=$E60,N$5:N$30))</f>
        <v>#DIV/0!</v>
      </c>
      <c r="O61" s="107" t="e">
        <f t="array" ref="O61">_xlfn.STDEV.P(IF($E$5:$E$30=$E60,O$5:O$30))</f>
        <v>#DIV/0!</v>
      </c>
      <c r="P61" s="107" t="e">
        <f t="array" ref="P61">_xlfn.STDEV.P(IF($E$5:$E$30=$E60,P$5:P$30))</f>
        <v>#DIV/0!</v>
      </c>
      <c r="Q61" s="107" t="e">
        <f t="array" ref="Q61">_xlfn.STDEV.P(IF($E$5:$E$30=$E60,Q$5:Q$30))</f>
        <v>#DIV/0!</v>
      </c>
      <c r="R61" s="107" t="e">
        <f t="array" ref="R61">_xlfn.STDEV.P(IF($E$5:$E$30=$E60,R$5:R$30))</f>
        <v>#DIV/0!</v>
      </c>
      <c r="S61" s="244"/>
      <c r="T61" s="244" t="e">
        <f t="array" ref="T61">_xlfn.STDEV.P(IF($E$5:$E$30=$E60,T$5:T$30))</f>
        <v>#DIV/0!</v>
      </c>
      <c r="U61" s="107" t="e">
        <f t="array" ref="U61">_xlfn.STDEV.P(IF($E$5:$E$30=$E60,U$5:U$30))</f>
        <v>#DIV/0!</v>
      </c>
      <c r="V61" s="72" t="s">
        <v>11</v>
      </c>
      <c r="W61" s="81" t="e">
        <f t="array" ref="W61">_xlfn.STDEV.P(IF($E$5:$E$30=$E60,W$5:W$30))</f>
        <v>#DIV/0!</v>
      </c>
      <c r="X61" s="81" t="e">
        <f t="array" ref="X61">_xlfn.STDEV.P(IF($E$5:$E$30=$E60,X$5:X$30))</f>
        <v>#DIV/0!</v>
      </c>
      <c r="Y61" s="81" t="e">
        <f t="array" ref="Y61">_xlfn.STDEV.P(IF($E$5:$E$30=$E60,Y$5:Y$30))</f>
        <v>#DIV/0!</v>
      </c>
      <c r="Z61" s="81" t="e">
        <f t="array" ref="Z61">_xlfn.STDEV.P(IF($E$5:$E$30=$E60,Z$5:Z$30))</f>
        <v>#DIV/0!</v>
      </c>
      <c r="AA61" s="81" t="e">
        <f t="array" ref="AA61">_xlfn.STDEV.P(IF($E$5:$E$30=$E60,AA$5:AA$30))</f>
        <v>#DIV/0!</v>
      </c>
      <c r="AB61" s="81" t="e">
        <f t="array" ref="AB61">_xlfn.STDEV.P(IF($E$5:$E$30=$E60,AB$5:AB$30))</f>
        <v>#DIV/0!</v>
      </c>
      <c r="AC61" s="81" t="e">
        <f t="array" ref="AC61">_xlfn.STDEV.P(IF($E$5:$E$30=$E60,AC$5:AC$30))</f>
        <v>#DIV/0!</v>
      </c>
      <c r="AD61" s="81" t="e">
        <f t="array" ref="AD61">_xlfn.STDEV.P(IF($E$5:$E$30=$E60,AD$5:AD$30))</f>
        <v>#DIV/0!</v>
      </c>
      <c r="AE61" s="81" t="e">
        <f t="array" ref="AE61">_xlfn.STDEV.P(IF($E$5:$E$30=$E60,AE$5:AE$30))</f>
        <v>#DIV/0!</v>
      </c>
      <c r="AF61" s="81" t="e">
        <f t="array" ref="AF61">_xlfn.STDEV.P(IF($E$5:$E$30=$E60,AF$5:AF$30))</f>
        <v>#DIV/0!</v>
      </c>
      <c r="AG61" s="81" t="e">
        <f t="array" ref="AG61">_xlfn.STDEV.P(IF($E$5:$E$30=$E60,AG$5:AG$30))</f>
        <v>#DIV/0!</v>
      </c>
      <c r="AH61" s="81" t="e">
        <f t="array" ref="AH61">_xlfn.STDEV.P(IF($E$5:$E$30=$E60,AH$5:AH$30))</f>
        <v>#DIV/0!</v>
      </c>
      <c r="AI61" s="81" t="e">
        <f t="array" ref="AI61">_xlfn.STDEV.P(IF($E$5:$E$30=$E60,AI$5:AI$30))</f>
        <v>#DIV/0!</v>
      </c>
      <c r="AJ61" s="81" t="e">
        <f t="array" ref="AJ61">_xlfn.STDEV.P(IF($E$5:$E$30=$E60,AJ$5:AJ$30))</f>
        <v>#DIV/0!</v>
      </c>
      <c r="AK61" s="81" t="e">
        <f t="array" ref="AK61">_xlfn.STDEV.P(IF($E$5:$E$30=$E60,AK$5:AK$30))</f>
        <v>#DIV/0!</v>
      </c>
      <c r="AL61" s="81" t="e">
        <f t="array" ref="AL61">_xlfn.STDEV.P(IF($E$5:$E$30=$E60,AL$5:AL$30))</f>
        <v>#DIV/0!</v>
      </c>
      <c r="AM61" s="81" t="e">
        <f t="array" ref="AM61">_xlfn.STDEV.P(IF($E$5:$E$30=$E60,AM$5:AM$30))</f>
        <v>#DIV/0!</v>
      </c>
      <c r="AN61" s="81" t="e">
        <f t="array" ref="AN61">_xlfn.STDEV.P(IF($E$5:$E$30=$E60,AN$5:AN$30))</f>
        <v>#DIV/0!</v>
      </c>
      <c r="AO61" s="81" t="e">
        <f t="array" ref="AO61">_xlfn.STDEV.P(IF($E$5:$E$30=$E60,AO$5:AO$30))</f>
        <v>#DIV/0!</v>
      </c>
      <c r="AP61" s="81" t="e">
        <f t="array" ref="AP61">_xlfn.STDEV.P(IF($E$5:$E$30=$E60,AP$5:AP$30))</f>
        <v>#DIV/0!</v>
      </c>
      <c r="AQ61" s="81" t="e">
        <f t="array" ref="AQ61">_xlfn.STDEV.P(IF($E$5:$E$30=$E60,AQ$5:AQ$30))</f>
        <v>#DIV/0!</v>
      </c>
      <c r="AR61" s="81" t="e">
        <f t="array" ref="AR61">_xlfn.STDEV.P(IF($E$5:$E$30=$E60,AR$5:AR$30))</f>
        <v>#DIV/0!</v>
      </c>
      <c r="AS61" s="81" t="e">
        <f t="array" ref="AS61">_xlfn.STDEV.P(IF($E$5:$E$30=$E60,AS$5:AS$30))</f>
        <v>#DIV/0!</v>
      </c>
      <c r="AT61" s="81" t="e">
        <f t="array" ref="AT61">_xlfn.STDEV.P(IF($E$5:$E$30=$E60,AT$5:AT$30))</f>
        <v>#DIV/0!</v>
      </c>
      <c r="AU61" s="81" t="e">
        <f t="array" ref="AU61">_xlfn.STDEV.P(IF($E$5:$E$30=$E60,AU$5:AU$30))</f>
        <v>#DIV/0!</v>
      </c>
      <c r="AV61" s="81" t="e">
        <f t="array" ref="AV61">_xlfn.STDEV.P(IF($E$5:$E$30=$E60,AV$5:AV$30))</f>
        <v>#DIV/0!</v>
      </c>
      <c r="AW61" s="81" t="e">
        <f t="array" ref="AW61">_xlfn.STDEV.P(IF($E$5:$E$30=$E60,AW$5:AW$30))</f>
        <v>#DIV/0!</v>
      </c>
      <c r="AX61" s="81" t="e">
        <f t="array" ref="AX61">_xlfn.STDEV.P(IF($E$5:$E$30=$E60,AX$5:AX$30))</f>
        <v>#DIV/0!</v>
      </c>
      <c r="AY61" s="81" t="e">
        <f t="array" ref="AY61">_xlfn.STDEV.P(IF($E$5:$E$30=$E60,AY$5:AY$30))</f>
        <v>#DIV/0!</v>
      </c>
      <c r="AZ61" s="81" t="e">
        <f t="array" ref="AZ61">_xlfn.STDEV.P(IF($E$5:$E$30=$E60,AZ$5:AZ$30))</f>
        <v>#DIV/0!</v>
      </c>
      <c r="BA61" s="81" t="e">
        <f t="array" ref="BA61">_xlfn.STDEV.P(IF($E$5:$E$30=$E60,BA$5:BA$30))</f>
        <v>#DIV/0!</v>
      </c>
      <c r="BB61" s="81" t="e">
        <f t="array" ref="BB61">_xlfn.STDEV.P(IF($E$5:$E$30=$E60,BB$5:BB$30))</f>
        <v>#DIV/0!</v>
      </c>
      <c r="BC61" s="81" t="e">
        <f t="array" ref="BC61">_xlfn.STDEV.P(IF($E$5:$E$30=$E60,BC$5:BC$30))</f>
        <v>#DIV/0!</v>
      </c>
      <c r="BD61" s="81" t="e">
        <f t="array" ref="BD61">_xlfn.STDEV.P(IF($E$5:$E$30=$E60,BD$5:BD$30))</f>
        <v>#DIV/0!</v>
      </c>
      <c r="BE61" s="81" t="e">
        <f t="array" ref="BE61">_xlfn.STDEV.P(IF($E$5:$E$30=$E60,BE$5:BE$30))</f>
        <v>#DIV/0!</v>
      </c>
      <c r="BF61" s="81" t="e">
        <f t="array" ref="BF61">_xlfn.STDEV.P(IF($E$5:$E$30=$E60,BF$5:BF$30))</f>
        <v>#DIV/0!</v>
      </c>
      <c r="BG61" s="81" t="e">
        <f t="array" ref="BG61">_xlfn.STDEV.P(IF($E$5:$E$30=$E60,BG$5:BG$30))</f>
        <v>#DIV/0!</v>
      </c>
      <c r="BH61" s="81" t="e">
        <f t="array" ref="BH61">_xlfn.STDEV.P(IF($E$5:$E$30=$E60,BH$5:BH$30))</f>
        <v>#DIV/0!</v>
      </c>
      <c r="BI61" s="81" t="e">
        <f t="array" ref="BI61">_xlfn.STDEV.P(IF($E$5:$E$30=$E60,BI$5:BI$30))</f>
        <v>#DIV/0!</v>
      </c>
      <c r="BJ61" s="81" t="e">
        <f t="array" ref="BJ61">_xlfn.STDEV.P(IF($E$5:$E$30=$E60,BJ$5:BJ$30))</f>
        <v>#DIV/0!</v>
      </c>
      <c r="BK61" s="81" t="e">
        <f t="array" ref="BK61">_xlfn.STDEV.P(IF($E$5:$E$30=$E60,BK$5:BK$30))</f>
        <v>#DIV/0!</v>
      </c>
      <c r="BL61" s="81" t="e">
        <f t="array" ref="BL61">_xlfn.STDEV.P(IF($E$5:$E$30=$E60,BL$5:BL$30))</f>
        <v>#DIV/0!</v>
      </c>
      <c r="BM61" s="81" t="e">
        <f t="array" ref="BM61">_xlfn.STDEV.P(IF($E$5:$E$30=$E60,BM$5:BM$30))</f>
        <v>#DIV/0!</v>
      </c>
      <c r="BN61" s="81" t="e">
        <f t="array" ref="BN61">_xlfn.STDEV.P(IF($E$5:$E$30=$E60,BN$5:BN$30))</f>
        <v>#DIV/0!</v>
      </c>
      <c r="BO61" s="81" t="e">
        <f t="array" ref="BO61">_xlfn.STDEV.P(IF($E$5:$E$30=$E60,BO$5:BO$30))</f>
        <v>#DIV/0!</v>
      </c>
      <c r="BP61" s="81" t="e">
        <f t="array" ref="BP61">_xlfn.STDEV.P(IF($E$5:$E$30=$E60,BP$5:BP$30))</f>
        <v>#DIV/0!</v>
      </c>
      <c r="BQ61" s="104" t="s">
        <v>11</v>
      </c>
      <c r="BR61" s="74" t="e">
        <f t="array" ref="BR61">_xlfn.STDEV.P(IF($E$5:$E$30=$E60,BR$5:BR$30))</f>
        <v>#DIV/0!</v>
      </c>
      <c r="BS61" s="74" t="e">
        <f t="array" ref="BS61">_xlfn.STDEV.P(IF($E$5:$E$30=$E60,BS$5:BS$30))</f>
        <v>#DIV/0!</v>
      </c>
      <c r="BT61" s="74" t="e">
        <f t="array" ref="BT61">_xlfn.STDEV.P(IF($E$5:$E$30=$E60,BT$5:BT$30))</f>
        <v>#DIV/0!</v>
      </c>
      <c r="BU61" s="74" t="e">
        <f t="array" ref="BU61">_xlfn.STDEV.P(IF($E$5:$E$30=$E60,BU$5:BU$30))</f>
        <v>#DIV/0!</v>
      </c>
      <c r="BV61" s="74" t="e">
        <f t="array" ref="BV61">_xlfn.STDEV.P(IF($E$5:$E$30=$E60,BV$5:BV$30))</f>
        <v>#DIV/0!</v>
      </c>
      <c r="BW61" s="74" t="e">
        <f t="array" ref="BW61">_xlfn.STDEV.P(IF($E$5:$E$30=$E60,BW$5:BW$30))</f>
        <v>#DIV/0!</v>
      </c>
      <c r="BX61" s="74" t="e">
        <f t="array" ref="BX61">_xlfn.STDEV.P(IF($E$5:$E$30=$E60,BX$5:BX$30))</f>
        <v>#DIV/0!</v>
      </c>
      <c r="BY61" s="74" t="e">
        <f t="array" ref="BY61">_xlfn.STDEV.P(IF($E$5:$E$30=$E60,BY$5:BY$30))</f>
        <v>#DIV/0!</v>
      </c>
      <c r="BZ61" s="74" t="e">
        <f t="array" ref="BZ61">_xlfn.STDEV.P(IF($E$5:$E$30=$E60,BZ$5:BZ$30))</f>
        <v>#DIV/0!</v>
      </c>
      <c r="CA61" s="74" t="e">
        <f t="array" ref="CA61">_xlfn.STDEV.P(IF($E$5:$E$30=$E60,CA$5:CA$30))</f>
        <v>#DIV/0!</v>
      </c>
      <c r="CB61" s="74" t="e">
        <f t="array" ref="CB61">_xlfn.STDEV.P(IF($E$5:$E$30=$E60,CB$5:CB$30))</f>
        <v>#DIV/0!</v>
      </c>
      <c r="CC61" s="74" t="e">
        <f t="array" ref="CC61">_xlfn.STDEV.P(IF($E$5:$E$30=$E60,CC$5:CC$30))</f>
        <v>#DIV/0!</v>
      </c>
      <c r="CD61" s="74" t="e">
        <f t="array" ref="CD61">_xlfn.STDEV.P(IF($E$5:$E$30=$E60,CD$5:CD$30))</f>
        <v>#DIV/0!</v>
      </c>
      <c r="CE61" s="74" t="e">
        <f t="array" ref="CE61">_xlfn.STDEV.P(IF($E$5:$E$30=$E60,CE$5:CE$30))</f>
        <v>#DIV/0!</v>
      </c>
      <c r="CF61" s="74" t="e">
        <f t="array" ref="CF61">_xlfn.STDEV.P(IF($E$5:$E$30=$E60,CF$5:CF$30))</f>
        <v>#DIV/0!</v>
      </c>
      <c r="CG61" s="74" t="e">
        <f t="array" ref="CG61">_xlfn.STDEV.P(IF($E$5:$E$30=$E60,CG$5:CG$30))</f>
        <v>#DIV/0!</v>
      </c>
      <c r="CH61" s="74" t="e">
        <f t="array" ref="CH61">_xlfn.STDEV.P(IF($E$5:$E$30=$E60,CH$5:CH$30))</f>
        <v>#DIV/0!</v>
      </c>
      <c r="CI61" s="74" t="e">
        <f t="array" ref="CI61">_xlfn.STDEV.P(IF($E$5:$E$30=$E60,CI$5:CI$30))</f>
        <v>#DIV/0!</v>
      </c>
      <c r="CJ61" s="74" t="e">
        <f t="array" ref="CJ61">_xlfn.STDEV.P(IF($E$5:$E$30=$E60,CJ$5:CJ$30))</f>
        <v>#DIV/0!</v>
      </c>
      <c r="CK61" s="74" t="e">
        <f t="array" ref="CK61">_xlfn.STDEV.P(IF($E$5:$E$30=$E60,CK$5:CK$30))</f>
        <v>#DIV/0!</v>
      </c>
      <c r="CL61" s="74" t="e">
        <f t="array" ref="CL61">_xlfn.STDEV.P(IF($E$5:$E$30=$E60,CL$5:CL$30))</f>
        <v>#DIV/0!</v>
      </c>
      <c r="CM61" s="74" t="e">
        <f t="array" ref="CM61">_xlfn.STDEV.P(IF($E$5:$E$30=$E60,CM$5:CM$30))</f>
        <v>#DIV/0!</v>
      </c>
      <c r="CN61" s="74" t="e">
        <f t="array" ref="CN61">_xlfn.STDEV.P(IF($E$5:$E$30=$E60,CN$5:CN$30))</f>
        <v>#DIV/0!</v>
      </c>
      <c r="CO61" s="74" t="e">
        <f t="array" ref="CO61">_xlfn.STDEV.P(IF($E$5:$E$30=$E60,CO$5:CO$30))</f>
        <v>#DIV/0!</v>
      </c>
      <c r="CP61" s="74" t="e">
        <f t="array" ref="CP61">_xlfn.STDEV.P(IF($E$5:$E$30=$E60,CP$5:CP$30))</f>
        <v>#DIV/0!</v>
      </c>
      <c r="CQ61" s="74" t="e">
        <f t="array" ref="CQ61">_xlfn.STDEV.P(IF($E$5:$E$30=$E60,CQ$5:CQ$30))</f>
        <v>#DIV/0!</v>
      </c>
      <c r="CR61" s="74" t="e">
        <f t="array" ref="CR61">_xlfn.STDEV.P(IF($E$5:$E$30=$E60,CR$5:CR$30))</f>
        <v>#DIV/0!</v>
      </c>
      <c r="CS61" s="74" t="e">
        <f t="array" ref="CS61">_xlfn.STDEV.P(IF($E$5:$E$30=$E60,CS$5:CS$30))</f>
        <v>#DIV/0!</v>
      </c>
      <c r="CT61" s="74" t="e">
        <f t="array" ref="CT61">_xlfn.STDEV.P(IF($E$5:$E$30=$E60,CT$5:CT$30))</f>
        <v>#DIV/0!</v>
      </c>
      <c r="CU61" s="74" t="e">
        <f t="array" ref="CU61">_xlfn.STDEV.P(IF($E$5:$E$30=$E60,CU$5:CU$30))</f>
        <v>#DIV/0!</v>
      </c>
      <c r="CV61" s="74" t="e">
        <f t="array" ref="CV61">_xlfn.STDEV.P(IF($E$5:$E$30=$E60,CV$5:CV$30))</f>
        <v>#DIV/0!</v>
      </c>
      <c r="CW61" s="74" t="e">
        <f t="array" ref="CW61">_xlfn.STDEV.P(IF($E$5:$E$30=$E60,CW$5:CW$30))</f>
        <v>#DIV/0!</v>
      </c>
      <c r="CX61" s="74" t="e">
        <f t="array" ref="CX61">_xlfn.STDEV.P(IF($E$5:$E$30=$E60,CX$5:CX$30))</f>
        <v>#DIV/0!</v>
      </c>
      <c r="CY61" s="74" t="e">
        <f t="array" ref="CY61">_xlfn.STDEV.P(IF($E$5:$E$30=$E60,CY$5:CY$30))</f>
        <v>#DIV/0!</v>
      </c>
      <c r="CZ61" s="74" t="e">
        <f t="array" ref="CZ61">_xlfn.STDEV.P(IF($E$5:$E$30=$E60,CZ$5:CZ$30))</f>
        <v>#DIV/0!</v>
      </c>
      <c r="DA61" s="74" t="e">
        <f t="array" ref="DA61">_xlfn.STDEV.P(IF($E$5:$E$30=$E60,DA$5:DA$30))</f>
        <v>#DIV/0!</v>
      </c>
      <c r="DB61" s="74" t="e">
        <f t="array" ref="DB61">_xlfn.STDEV.P(IF($E$5:$E$30=$E60,DB$5:DB$30))</f>
        <v>#DIV/0!</v>
      </c>
      <c r="DC61" s="74" t="e">
        <f t="array" ref="DC61">_xlfn.STDEV.P(IF($E$5:$E$30=$E60,DC$5:DC$30))</f>
        <v>#DIV/0!</v>
      </c>
      <c r="DD61" s="74" t="e">
        <f t="array" ref="DD61">_xlfn.STDEV.P(IF($E$5:$E$30=$E60,DD$5:DD$30))</f>
        <v>#DIV/0!</v>
      </c>
      <c r="DE61" s="74" t="e">
        <f t="array" ref="DE61">_xlfn.STDEV.P(IF($E$5:$E$30=$E60,DE$5:DE$30))</f>
        <v>#DIV/0!</v>
      </c>
      <c r="DF61" s="74" t="e">
        <f t="array" ref="DF61">_xlfn.STDEV.P(IF($E$5:$E$30=$E60,DF$5:DF$30))</f>
        <v>#DIV/0!</v>
      </c>
      <c r="DG61" s="74" t="e">
        <f t="array" ref="DG61">_xlfn.STDEV.P(IF($E$5:$E$30=$E60,DG$5:DG$30))</f>
        <v>#DIV/0!</v>
      </c>
      <c r="DH61" s="74" t="e">
        <f t="array" ref="DH61">_xlfn.STDEV.P(IF($E$5:$E$30=$E60,DH$5:DH$30))</f>
        <v>#DIV/0!</v>
      </c>
      <c r="DI61" s="74" t="e">
        <f t="array" ref="DI61">_xlfn.STDEV.P(IF($E$5:$E$30=$E60,DI$5:DI$30))</f>
        <v>#DIV/0!</v>
      </c>
      <c r="DJ61" s="74" t="e">
        <f t="array" ref="DJ61">_xlfn.STDEV.P(IF($E$5:$E$30=$E60,DJ$5:DJ$30))</f>
        <v>#DIV/0!</v>
      </c>
      <c r="DK61" s="74" t="e">
        <f t="array" ref="DK61">_xlfn.STDEV.P(IF($E$5:$E$30=$E60,DK$5:DK$30))</f>
        <v>#DIV/0!</v>
      </c>
    </row>
    <row r="62" spans="1:120" s="162" customFormat="1" ht="14.25" customHeight="1">
      <c r="A62" s="158"/>
      <c r="B62" s="159"/>
      <c r="C62" s="160"/>
      <c r="D62" s="181"/>
      <c r="E62" s="161"/>
      <c r="G62" s="159"/>
      <c r="H62" s="159"/>
      <c r="I62" s="163"/>
      <c r="J62" s="164"/>
      <c r="K62" s="164"/>
      <c r="L62" s="164"/>
      <c r="M62" s="164"/>
      <c r="N62" s="164"/>
      <c r="O62" s="164"/>
      <c r="P62" s="164"/>
      <c r="Q62" s="164"/>
      <c r="R62" s="164"/>
      <c r="S62" s="244"/>
      <c r="T62" s="244"/>
      <c r="U62" s="164"/>
      <c r="V62" s="165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156"/>
      <c r="BR62" s="157"/>
      <c r="BS62" s="157"/>
      <c r="BT62" s="157"/>
      <c r="BU62" s="157"/>
      <c r="BV62" s="157"/>
      <c r="BW62" s="157"/>
      <c r="BX62" s="157"/>
      <c r="BY62" s="157"/>
      <c r="BZ62" s="157"/>
      <c r="CA62" s="157"/>
      <c r="CB62" s="157"/>
      <c r="CC62" s="157"/>
      <c r="CD62" s="157"/>
      <c r="CE62" s="157"/>
      <c r="CF62" s="157"/>
      <c r="CG62" s="157"/>
      <c r="CH62" s="157"/>
      <c r="CI62" s="157"/>
      <c r="CJ62" s="157"/>
      <c r="CK62" s="157"/>
      <c r="CL62" s="157"/>
      <c r="CM62" s="157"/>
      <c r="CN62" s="157"/>
      <c r="CO62" s="157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</row>
    <row r="63" spans="1:120" s="171" customFormat="1" ht="14.25" customHeight="1">
      <c r="A63" s="167"/>
      <c r="B63" s="168"/>
      <c r="C63" s="169"/>
      <c r="D63" s="182"/>
      <c r="E63" s="170"/>
      <c r="G63" s="168"/>
      <c r="H63" s="168"/>
      <c r="I63" s="172"/>
      <c r="J63" s="173"/>
      <c r="K63" s="173"/>
      <c r="L63" s="173"/>
      <c r="M63" s="173"/>
      <c r="N63" s="173"/>
      <c r="O63" s="173"/>
      <c r="P63" s="173"/>
      <c r="Q63" s="173"/>
      <c r="R63" s="173"/>
      <c r="S63" s="244"/>
      <c r="T63" s="244"/>
      <c r="U63" s="173"/>
      <c r="V63" s="174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175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  <c r="CM63" s="166"/>
      <c r="CN63" s="166"/>
      <c r="CO63" s="166"/>
      <c r="CP63" s="166"/>
      <c r="CQ63" s="166"/>
      <c r="CR63" s="166"/>
      <c r="CS63" s="166"/>
      <c r="CT63" s="166"/>
      <c r="CU63" s="166"/>
      <c r="CV63" s="166"/>
      <c r="CW63" s="166"/>
      <c r="CX63" s="166"/>
      <c r="CY63" s="166"/>
      <c r="CZ63" s="166"/>
      <c r="DA63" s="166"/>
      <c r="DB63" s="166"/>
      <c r="DC63" s="166"/>
      <c r="DD63" s="166"/>
      <c r="DE63" s="166"/>
      <c r="DF63" s="166"/>
      <c r="DG63" s="166"/>
      <c r="DH63" s="166"/>
      <c r="DI63" s="166"/>
      <c r="DJ63" s="166"/>
      <c r="DK63" s="166"/>
    </row>
    <row r="64" spans="1:120" ht="15">
      <c r="A64" s="113"/>
      <c r="E64" s="52"/>
      <c r="I64" s="52"/>
      <c r="K64" s="57"/>
      <c r="L64" s="57"/>
      <c r="P64" s="57"/>
      <c r="Q64" s="57"/>
      <c r="R64" s="57"/>
      <c r="S64" s="243"/>
      <c r="T64" s="243"/>
      <c r="U64" s="57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DF64" s="44"/>
      <c r="DG64" s="44"/>
      <c r="DH64" s="44"/>
      <c r="DI64" s="44"/>
      <c r="DJ64" s="44"/>
      <c r="DK64" s="44"/>
    </row>
    <row r="65" spans="1:115" ht="14.25" customHeight="1">
      <c r="A65" s="113"/>
      <c r="E65" s="118" t="str">
        <f>'FIG6 Groups'!C14</f>
        <v>Group 9</v>
      </c>
      <c r="I65" s="118" t="str">
        <f>E65</f>
        <v>Group 9</v>
      </c>
      <c r="J65" s="107" t="e">
        <f>AVERAGEIF($E$5:$E$30,$E65,J$5:J$30)</f>
        <v>#DIV/0!</v>
      </c>
      <c r="K65" s="107"/>
      <c r="L65" s="107"/>
      <c r="M65" s="107" t="e">
        <f>AVERAGEIF($E$5:$E$30,$E65,M$5:M$30)</f>
        <v>#DIV/0!</v>
      </c>
      <c r="N65" s="107" t="e">
        <f>AVERAGEIF($E$5:$E$30,$E65,N$5:N$30)</f>
        <v>#DIV/0!</v>
      </c>
      <c r="O65" s="107" t="e">
        <f>AVERAGEIF($E$5:$E$30,$E65,O$5:O$30)</f>
        <v>#DIV/0!</v>
      </c>
      <c r="P65" s="107" t="e">
        <f>AVERAGEIF($E$5:$E$30,$E65,P$5:P$30)</f>
        <v>#DIV/0!</v>
      </c>
      <c r="Q65" s="107" t="e">
        <f>AVERAGEIF($E$5:$E$30,$E65,Q$5:Q$30)</f>
        <v>#DIV/0!</v>
      </c>
      <c r="R65" s="107" t="e">
        <f>AVERAGEIF($E$5:$E$30,$E65,R$5:R$30)</f>
        <v>#DIV/0!</v>
      </c>
      <c r="S65" s="244"/>
      <c r="T65" s="244" t="e">
        <f>AVERAGEIF($E$5:$E$30,$E65,T$5:T$30)</f>
        <v>#DIV/0!</v>
      </c>
      <c r="U65" s="107" t="e">
        <f>AVERAGEIF($E$5:$E$30,$E65,U$5:U$30)</f>
        <v>#DIV/0!</v>
      </c>
      <c r="V65" s="72" t="s">
        <v>9</v>
      </c>
      <c r="W65" s="78" t="e">
        <f>AVERAGEIF($E$5:$E$30,$E65,W$5:W$30)</f>
        <v>#DIV/0!</v>
      </c>
      <c r="X65" s="78" t="e">
        <f>AVERAGEIF($E$5:$E$30,$E65,X$5:X$30)</f>
        <v>#DIV/0!</v>
      </c>
      <c r="Y65" s="78" t="e">
        <f>AVERAGEIF($E$5:$E$30,$E65,Y$5:Y$30)</f>
        <v>#DIV/0!</v>
      </c>
      <c r="Z65" s="78" t="e">
        <f>AVERAGEIF($E$5:$E$30,$E65,Z$5:Z$30)</f>
        <v>#DIV/0!</v>
      </c>
      <c r="AA65" s="78" t="e">
        <f>AVERAGEIF($E$5:$E$30,$E65,AA$5:AA$30)</f>
        <v>#DIV/0!</v>
      </c>
      <c r="AB65" s="78" t="e">
        <f>AVERAGEIF($E$5:$E$30,$E65,AB$5:AB$30)</f>
        <v>#DIV/0!</v>
      </c>
      <c r="AC65" s="78" t="e">
        <f>AVERAGEIF($E$5:$E$30,$E65,AC$5:AC$30)</f>
        <v>#DIV/0!</v>
      </c>
      <c r="AD65" s="78" t="e">
        <f>AVERAGEIF($E$5:$E$30,$E65,AD$5:AD$30)</f>
        <v>#DIV/0!</v>
      </c>
      <c r="AE65" s="78" t="e">
        <f>AVERAGEIF($E$5:$E$30,$E65,AE$5:AE$30)</f>
        <v>#DIV/0!</v>
      </c>
      <c r="AF65" s="78" t="e">
        <f>AVERAGEIF($E$5:$E$30,$E65,AF$5:AF$30)</f>
        <v>#DIV/0!</v>
      </c>
      <c r="AG65" s="78" t="e">
        <f>AVERAGEIF($E$5:$E$30,$E65,AG$5:AG$30)</f>
        <v>#DIV/0!</v>
      </c>
      <c r="AH65" s="78" t="e">
        <f>AVERAGEIF($E$5:$E$30,$E65,AH$5:AH$30)</f>
        <v>#DIV/0!</v>
      </c>
      <c r="AI65" s="78" t="e">
        <f>AVERAGEIF($E$5:$E$30,$E65,AI$5:AI$30)</f>
        <v>#DIV/0!</v>
      </c>
      <c r="AJ65" s="78" t="e">
        <f>AVERAGEIF($E$5:$E$30,$E65,AJ$5:AJ$30)</f>
        <v>#DIV/0!</v>
      </c>
      <c r="AK65" s="78" t="e">
        <f>AVERAGEIF($E$5:$E$30,$E65,AK$5:AK$30)</f>
        <v>#DIV/0!</v>
      </c>
      <c r="AL65" s="78" t="e">
        <f>AVERAGEIF($E$5:$E$30,$E65,AL$5:AL$30)</f>
        <v>#DIV/0!</v>
      </c>
      <c r="AM65" s="78" t="e">
        <f>AVERAGEIF($E$5:$E$30,$E65,AM$5:AM$30)</f>
        <v>#DIV/0!</v>
      </c>
      <c r="AN65" s="78" t="e">
        <f>AVERAGEIF($E$5:$E$30,$E65,AN$5:AN$30)</f>
        <v>#DIV/0!</v>
      </c>
      <c r="AO65" s="78" t="e">
        <f>AVERAGEIF($E$5:$E$30,$E65,AO$5:AO$30)</f>
        <v>#DIV/0!</v>
      </c>
      <c r="AP65" s="78" t="e">
        <f>AVERAGEIF($E$5:$E$30,$E65,AP$5:AP$30)</f>
        <v>#DIV/0!</v>
      </c>
      <c r="AQ65" s="78" t="e">
        <f>AVERAGEIF($E$5:$E$30,$E65,AQ$5:AQ$30)</f>
        <v>#DIV/0!</v>
      </c>
      <c r="AR65" s="78" t="e">
        <f>AVERAGEIF($E$5:$E$30,$E65,AR$5:AR$30)</f>
        <v>#DIV/0!</v>
      </c>
      <c r="AS65" s="78" t="e">
        <f>AVERAGEIF($E$5:$E$30,$E65,AS$5:AS$30)</f>
        <v>#DIV/0!</v>
      </c>
      <c r="AT65" s="78" t="e">
        <f>AVERAGEIF($E$5:$E$30,$E65,AT$5:AT$30)</f>
        <v>#DIV/0!</v>
      </c>
      <c r="AU65" s="78" t="e">
        <f>AVERAGEIF($E$5:$E$30,$E65,AU$5:AU$30)</f>
        <v>#DIV/0!</v>
      </c>
      <c r="AV65" s="78" t="e">
        <f>AVERAGEIF($E$5:$E$30,$E65,AV$5:AV$30)</f>
        <v>#DIV/0!</v>
      </c>
      <c r="AW65" s="78" t="e">
        <f>AVERAGEIF($E$5:$E$30,$E65,AW$5:AW$30)</f>
        <v>#DIV/0!</v>
      </c>
      <c r="AX65" s="78" t="e">
        <f>AVERAGEIF($E$5:$E$30,$E65,AX$5:AX$30)</f>
        <v>#DIV/0!</v>
      </c>
      <c r="AY65" s="78" t="e">
        <f>AVERAGEIF($E$5:$E$30,$E65,AY$5:AY$30)</f>
        <v>#DIV/0!</v>
      </c>
      <c r="AZ65" s="78" t="e">
        <f>AVERAGEIF($E$5:$E$30,$E65,AZ$5:AZ$30)</f>
        <v>#DIV/0!</v>
      </c>
      <c r="BA65" s="78" t="e">
        <f>AVERAGEIF($E$5:$E$30,$E65,BA$5:BA$30)</f>
        <v>#DIV/0!</v>
      </c>
      <c r="BB65" s="78" t="e">
        <f>AVERAGEIF($E$5:$E$30,$E65,BB$5:BB$30)</f>
        <v>#DIV/0!</v>
      </c>
      <c r="BC65" s="78" t="e">
        <f>AVERAGEIF($E$5:$E$30,$E65,BC$5:BC$30)</f>
        <v>#DIV/0!</v>
      </c>
      <c r="BD65" s="78" t="e">
        <f>AVERAGEIF($E$5:$E$30,$E65,BD$5:BD$30)</f>
        <v>#DIV/0!</v>
      </c>
      <c r="BE65" s="78" t="e">
        <f>AVERAGEIF($E$5:$E$30,$E65,BE$5:BE$30)</f>
        <v>#DIV/0!</v>
      </c>
      <c r="BF65" s="78" t="e">
        <f>AVERAGEIF($E$5:$E$30,$E65,BF$5:BF$30)</f>
        <v>#DIV/0!</v>
      </c>
      <c r="BG65" s="78" t="e">
        <f>AVERAGEIF($E$5:$E$30,$E65,BG$5:BG$30)</f>
        <v>#DIV/0!</v>
      </c>
      <c r="BH65" s="78" t="e">
        <f>AVERAGEIF($E$5:$E$30,$E65,BH$5:BH$30)</f>
        <v>#DIV/0!</v>
      </c>
      <c r="BI65" s="78" t="e">
        <f>AVERAGEIF($E$5:$E$30,$E65,BI$5:BI$30)</f>
        <v>#DIV/0!</v>
      </c>
      <c r="BJ65" s="78" t="e">
        <f>AVERAGEIF($E$5:$E$30,$E65,BJ$5:BJ$30)</f>
        <v>#DIV/0!</v>
      </c>
      <c r="BK65" s="78" t="e">
        <f>AVERAGEIF($E$5:$E$30,$E65,BK$5:BK$30)</f>
        <v>#DIV/0!</v>
      </c>
      <c r="BL65" s="78" t="e">
        <f>AVERAGEIF($E$5:$E$30,$E65,BL$5:BL$30)</f>
        <v>#DIV/0!</v>
      </c>
      <c r="BM65" s="78" t="e">
        <f>AVERAGEIF($E$5:$E$30,$E65,BM$5:BM$30)</f>
        <v>#DIV/0!</v>
      </c>
      <c r="BN65" s="78" t="e">
        <f>AVERAGEIF($E$5:$E$30,$E65,BN$5:BN$30)</f>
        <v>#DIV/0!</v>
      </c>
      <c r="BO65" s="78" t="e">
        <f>AVERAGEIF($E$5:$E$30,$E65,BO$5:BO$30)</f>
        <v>#DIV/0!</v>
      </c>
      <c r="BP65" s="78" t="e">
        <f>AVERAGEIF($E$5:$E$30,$E65,BP$5:BP$30)</f>
        <v>#DIV/0!</v>
      </c>
      <c r="BQ65" s="103" t="s">
        <v>9</v>
      </c>
      <c r="BR65" s="73" t="e">
        <f>AVERAGEIF($E$5:$E$30,$E65,BR$5:BR$30)</f>
        <v>#DIV/0!</v>
      </c>
      <c r="BS65" s="73" t="e">
        <f>AVERAGEIF($E$5:$E$30,$E65,BS$5:BS$30)</f>
        <v>#DIV/0!</v>
      </c>
      <c r="BT65" s="73" t="e">
        <f>AVERAGEIF($E$5:$E$30,$E65,BT$5:BT$30)</f>
        <v>#DIV/0!</v>
      </c>
      <c r="BU65" s="73" t="e">
        <f>AVERAGEIF($E$5:$E$30,$E65,BU$5:BU$30)</f>
        <v>#DIV/0!</v>
      </c>
      <c r="BV65" s="73" t="e">
        <f>AVERAGEIF($E$5:$E$30,$E65,BV$5:BV$30)</f>
        <v>#DIV/0!</v>
      </c>
      <c r="BW65" s="73" t="e">
        <f>AVERAGEIF($E$5:$E$30,$E65,BW$5:BW$30)</f>
        <v>#DIV/0!</v>
      </c>
      <c r="BX65" s="73" t="e">
        <f>AVERAGEIF($E$5:$E$30,$E65,BX$5:BX$30)</f>
        <v>#DIV/0!</v>
      </c>
      <c r="BY65" s="73" t="e">
        <f>AVERAGEIF($E$5:$E$30,$E65,BY$5:BY$30)</f>
        <v>#DIV/0!</v>
      </c>
      <c r="BZ65" s="73" t="e">
        <f>AVERAGEIF($E$5:$E$30,$E65,BZ$5:BZ$30)</f>
        <v>#DIV/0!</v>
      </c>
      <c r="CA65" s="73" t="e">
        <f>AVERAGEIF($E$5:$E$30,$E65,CA$5:CA$30)</f>
        <v>#DIV/0!</v>
      </c>
      <c r="CB65" s="73" t="e">
        <f>AVERAGEIF($E$5:$E$30,$E65,CB$5:CB$30)</f>
        <v>#DIV/0!</v>
      </c>
      <c r="CC65" s="73" t="e">
        <f>AVERAGEIF($E$5:$E$30,$E65,CC$5:CC$30)</f>
        <v>#DIV/0!</v>
      </c>
      <c r="CD65" s="73" t="e">
        <f>AVERAGEIF($E$5:$E$30,$E65,CD$5:CD$30)</f>
        <v>#DIV/0!</v>
      </c>
      <c r="CE65" s="73" t="e">
        <f>AVERAGEIF($E$5:$E$30,$E65,CE$5:CE$30)</f>
        <v>#DIV/0!</v>
      </c>
      <c r="CF65" s="73" t="e">
        <f>AVERAGEIF($E$5:$E$30,$E65,CF$5:CF$30)</f>
        <v>#DIV/0!</v>
      </c>
      <c r="CG65" s="73" t="e">
        <f>AVERAGEIF($E$5:$E$30,$E65,CG$5:CG$30)</f>
        <v>#DIV/0!</v>
      </c>
      <c r="CH65" s="73" t="e">
        <f>AVERAGEIF($E$5:$E$30,$E65,CH$5:CH$30)</f>
        <v>#DIV/0!</v>
      </c>
      <c r="CI65" s="73" t="e">
        <f>AVERAGEIF($E$5:$E$30,$E65,CI$5:CI$30)</f>
        <v>#DIV/0!</v>
      </c>
      <c r="CJ65" s="73" t="e">
        <f>AVERAGEIF($E$5:$E$30,$E65,CJ$5:CJ$30)</f>
        <v>#DIV/0!</v>
      </c>
      <c r="CK65" s="73" t="e">
        <f>AVERAGEIF($E$5:$E$30,$E65,CK$5:CK$30)</f>
        <v>#DIV/0!</v>
      </c>
      <c r="CL65" s="73" t="e">
        <f>AVERAGEIF($E$5:$E$30,$E65,CL$5:CL$30)</f>
        <v>#DIV/0!</v>
      </c>
      <c r="CM65" s="73" t="e">
        <f>AVERAGEIF($E$5:$E$30,$E65,CM$5:CM$30)</f>
        <v>#DIV/0!</v>
      </c>
      <c r="CN65" s="73" t="e">
        <f>AVERAGEIF($E$5:$E$30,$E65,CN$5:CN$30)</f>
        <v>#DIV/0!</v>
      </c>
      <c r="CO65" s="73" t="e">
        <f>AVERAGEIF($E$5:$E$30,$E65,CO$5:CO$30)</f>
        <v>#DIV/0!</v>
      </c>
      <c r="CP65" s="73" t="e">
        <f>AVERAGEIF($E$5:$E$30,$E65,CP$5:CP$30)</f>
        <v>#DIV/0!</v>
      </c>
      <c r="CQ65" s="73" t="e">
        <f>AVERAGEIF($E$5:$E$30,$E65,CQ$5:CQ$30)</f>
        <v>#DIV/0!</v>
      </c>
      <c r="CR65" s="73" t="e">
        <f>AVERAGEIF($E$5:$E$30,$E65,CR$5:CR$30)</f>
        <v>#DIV/0!</v>
      </c>
      <c r="CS65" s="73" t="e">
        <f>AVERAGEIF($E$5:$E$30,$E65,CS$5:CS$30)</f>
        <v>#DIV/0!</v>
      </c>
      <c r="CT65" s="73" t="e">
        <f>AVERAGEIF($E$5:$E$30,$E65,CT$5:CT$30)</f>
        <v>#DIV/0!</v>
      </c>
      <c r="CU65" s="73" t="e">
        <f>AVERAGEIF($E$5:$E$30,$E65,CU$5:CU$30)</f>
        <v>#DIV/0!</v>
      </c>
      <c r="CV65" s="73" t="e">
        <f>AVERAGEIF($E$5:$E$30,$E65,CV$5:CV$30)</f>
        <v>#DIV/0!</v>
      </c>
      <c r="CW65" s="73" t="e">
        <f>AVERAGEIF($E$5:$E$30,$E65,CW$5:CW$30)</f>
        <v>#DIV/0!</v>
      </c>
      <c r="CX65" s="73" t="e">
        <f>AVERAGEIF($E$5:$E$30,$E65,CX$5:CX$30)</f>
        <v>#DIV/0!</v>
      </c>
      <c r="CY65" s="73" t="e">
        <f>AVERAGEIF($E$5:$E$30,$E65,CY$5:CY$30)</f>
        <v>#DIV/0!</v>
      </c>
      <c r="CZ65" s="73" t="e">
        <f>AVERAGEIF($E$5:$E$30,$E65,CZ$5:CZ$30)</f>
        <v>#DIV/0!</v>
      </c>
      <c r="DA65" s="73" t="e">
        <f>AVERAGEIF($E$5:$E$30,$E65,DA$5:DA$30)</f>
        <v>#DIV/0!</v>
      </c>
      <c r="DB65" s="73" t="e">
        <f>AVERAGEIF($E$5:$E$30,$E65,DB$5:DB$30)</f>
        <v>#DIV/0!</v>
      </c>
      <c r="DC65" s="73" t="e">
        <f>AVERAGEIF($E$5:$E$30,$E65,DC$5:DC$30)</f>
        <v>#DIV/0!</v>
      </c>
      <c r="DD65" s="73" t="e">
        <f>AVERAGEIF($E$5:$E$30,$E65,DD$5:DD$30)</f>
        <v>#DIV/0!</v>
      </c>
      <c r="DE65" s="73" t="e">
        <f>AVERAGEIF($E$5:$E$30,$E65,DE$5:DE$30)</f>
        <v>#DIV/0!</v>
      </c>
      <c r="DF65" s="73" t="e">
        <f>AVERAGEIF($E$5:$E$30,$E65,DF$5:DF$30)</f>
        <v>#DIV/0!</v>
      </c>
      <c r="DG65" s="73" t="e">
        <f>AVERAGEIF($E$5:$E$30,$E65,DG$5:DG$30)</f>
        <v>#DIV/0!</v>
      </c>
      <c r="DH65" s="73" t="e">
        <f>AVERAGEIF($E$5:$E$30,$E65,DH$5:DH$30)</f>
        <v>#DIV/0!</v>
      </c>
      <c r="DI65" s="73" t="e">
        <f>AVERAGEIF($E$5:$E$30,$E65,DI$5:DI$30)</f>
        <v>#DIV/0!</v>
      </c>
      <c r="DJ65" s="73" t="e">
        <f>AVERAGEIF($E$5:$E$30,$E65,DJ$5:DJ$30)</f>
        <v>#DIV/0!</v>
      </c>
      <c r="DK65" s="73" t="e">
        <f>AVERAGEIF($E$5:$E$30,$E65,DK$5:DK$30)</f>
        <v>#DIV/0!</v>
      </c>
    </row>
    <row r="66" spans="1:115" ht="14.25" customHeight="1">
      <c r="A66" s="113"/>
      <c r="E66" s="118"/>
      <c r="I66" s="93"/>
      <c r="J66" s="107" t="e">
        <f t="array" ref="J66">_xlfn.STDEV.P(IF($E$5:$E$30=$E65,J$5:J$30))</f>
        <v>#DIV/0!</v>
      </c>
      <c r="K66" s="107"/>
      <c r="L66" s="107"/>
      <c r="M66" s="107" t="e">
        <f t="array" ref="M66">_xlfn.STDEV.P(IF($E$5:$E$30=$E65,M$5:M$30))</f>
        <v>#DIV/0!</v>
      </c>
      <c r="N66" s="107" t="e">
        <f t="array" ref="N66">_xlfn.STDEV.P(IF($E$5:$E$30=$E65,N$5:N$30))</f>
        <v>#DIV/0!</v>
      </c>
      <c r="O66" s="107" t="e">
        <f t="array" ref="O66">_xlfn.STDEV.P(IF($E$5:$E$30=$E65,O$5:O$30))</f>
        <v>#DIV/0!</v>
      </c>
      <c r="P66" s="107" t="e">
        <f t="array" ref="P66">_xlfn.STDEV.P(IF($E$5:$E$30=$E65,P$5:P$30))</f>
        <v>#DIV/0!</v>
      </c>
      <c r="Q66" s="107" t="e">
        <f t="array" ref="Q66">_xlfn.STDEV.P(IF($E$5:$E$30=$E65,Q$5:Q$30))</f>
        <v>#DIV/0!</v>
      </c>
      <c r="R66" s="107" t="e">
        <f t="array" ref="R66">_xlfn.STDEV.P(IF($E$5:$E$30=$E65,R$5:R$30))</f>
        <v>#DIV/0!</v>
      </c>
      <c r="S66" s="244"/>
      <c r="T66" s="244" t="e">
        <f t="array" ref="T66">_xlfn.STDEV.P(IF($E$5:$E$30=$E65,T$5:T$30))</f>
        <v>#DIV/0!</v>
      </c>
      <c r="U66" s="107" t="e">
        <f t="array" ref="U66">_xlfn.STDEV.P(IF($E$5:$E$30=$E65,U$5:U$30))</f>
        <v>#DIV/0!</v>
      </c>
      <c r="V66" s="72" t="s">
        <v>11</v>
      </c>
      <c r="W66" s="81" t="e">
        <f t="array" ref="W66">_xlfn.STDEV.P(IF($E$5:$E$30=$E65,W$5:W$30))</f>
        <v>#DIV/0!</v>
      </c>
      <c r="X66" s="81" t="e">
        <f t="array" ref="X66">_xlfn.STDEV.P(IF($E$5:$E$30=$E65,X$5:X$30))</f>
        <v>#DIV/0!</v>
      </c>
      <c r="Y66" s="81" t="e">
        <f t="array" ref="Y66">_xlfn.STDEV.P(IF($E$5:$E$30=$E65,Y$5:Y$30))</f>
        <v>#DIV/0!</v>
      </c>
      <c r="Z66" s="81" t="e">
        <f t="array" ref="Z66">_xlfn.STDEV.P(IF($E$5:$E$30=$E65,Z$5:Z$30))</f>
        <v>#DIV/0!</v>
      </c>
      <c r="AA66" s="81" t="e">
        <f t="array" ref="AA66">_xlfn.STDEV.P(IF($E$5:$E$30=$E65,AA$5:AA$30))</f>
        <v>#DIV/0!</v>
      </c>
      <c r="AB66" s="81" t="e">
        <f t="array" ref="AB66">_xlfn.STDEV.P(IF($E$5:$E$30=$E65,AB$5:AB$30))</f>
        <v>#DIV/0!</v>
      </c>
      <c r="AC66" s="81" t="e">
        <f t="array" ref="AC66">_xlfn.STDEV.P(IF($E$5:$E$30=$E65,AC$5:AC$30))</f>
        <v>#DIV/0!</v>
      </c>
      <c r="AD66" s="81" t="e">
        <f t="array" ref="AD66">_xlfn.STDEV.P(IF($E$5:$E$30=$E65,AD$5:AD$30))</f>
        <v>#DIV/0!</v>
      </c>
      <c r="AE66" s="81" t="e">
        <f t="array" ref="AE66">_xlfn.STDEV.P(IF($E$5:$E$30=$E65,AE$5:AE$30))</f>
        <v>#DIV/0!</v>
      </c>
      <c r="AF66" s="81" t="e">
        <f t="array" ref="AF66">_xlfn.STDEV.P(IF($E$5:$E$30=$E65,AF$5:AF$30))</f>
        <v>#DIV/0!</v>
      </c>
      <c r="AG66" s="81" t="e">
        <f t="array" ref="AG66">_xlfn.STDEV.P(IF($E$5:$E$30=$E65,AG$5:AG$30))</f>
        <v>#DIV/0!</v>
      </c>
      <c r="AH66" s="81" t="e">
        <f t="array" ref="AH66">_xlfn.STDEV.P(IF($E$5:$E$30=$E65,AH$5:AH$30))</f>
        <v>#DIV/0!</v>
      </c>
      <c r="AI66" s="81" t="e">
        <f t="array" ref="AI66">_xlfn.STDEV.P(IF($E$5:$E$30=$E65,AI$5:AI$30))</f>
        <v>#DIV/0!</v>
      </c>
      <c r="AJ66" s="81" t="e">
        <f t="array" ref="AJ66">_xlfn.STDEV.P(IF($E$5:$E$30=$E65,AJ$5:AJ$30))</f>
        <v>#DIV/0!</v>
      </c>
      <c r="AK66" s="81" t="e">
        <f t="array" ref="AK66">_xlfn.STDEV.P(IF($E$5:$E$30=$E65,AK$5:AK$30))</f>
        <v>#DIV/0!</v>
      </c>
      <c r="AL66" s="81" t="e">
        <f t="array" ref="AL66">_xlfn.STDEV.P(IF($E$5:$E$30=$E65,AL$5:AL$30))</f>
        <v>#DIV/0!</v>
      </c>
      <c r="AM66" s="81" t="e">
        <f t="array" ref="AM66">_xlfn.STDEV.P(IF($E$5:$E$30=$E65,AM$5:AM$30))</f>
        <v>#DIV/0!</v>
      </c>
      <c r="AN66" s="81" t="e">
        <f t="array" ref="AN66">_xlfn.STDEV.P(IF($E$5:$E$30=$E65,AN$5:AN$30))</f>
        <v>#DIV/0!</v>
      </c>
      <c r="AO66" s="81" t="e">
        <f t="array" ref="AO66">_xlfn.STDEV.P(IF($E$5:$E$30=$E65,AO$5:AO$30))</f>
        <v>#DIV/0!</v>
      </c>
      <c r="AP66" s="81" t="e">
        <f t="array" ref="AP66">_xlfn.STDEV.P(IF($E$5:$E$30=$E65,AP$5:AP$30))</f>
        <v>#DIV/0!</v>
      </c>
      <c r="AQ66" s="81" t="e">
        <f t="array" ref="AQ66">_xlfn.STDEV.P(IF($E$5:$E$30=$E65,AQ$5:AQ$30))</f>
        <v>#DIV/0!</v>
      </c>
      <c r="AR66" s="81" t="e">
        <f t="array" ref="AR66">_xlfn.STDEV.P(IF($E$5:$E$30=$E65,AR$5:AR$30))</f>
        <v>#DIV/0!</v>
      </c>
      <c r="AS66" s="81" t="e">
        <f t="array" ref="AS66">_xlfn.STDEV.P(IF($E$5:$E$30=$E65,AS$5:AS$30))</f>
        <v>#DIV/0!</v>
      </c>
      <c r="AT66" s="81" t="e">
        <f t="array" ref="AT66">_xlfn.STDEV.P(IF($E$5:$E$30=$E65,AT$5:AT$30))</f>
        <v>#DIV/0!</v>
      </c>
      <c r="AU66" s="81" t="e">
        <f t="array" ref="AU66">_xlfn.STDEV.P(IF($E$5:$E$30=$E65,AU$5:AU$30))</f>
        <v>#DIV/0!</v>
      </c>
      <c r="AV66" s="81" t="e">
        <f t="array" ref="AV66">_xlfn.STDEV.P(IF($E$5:$E$30=$E65,AV$5:AV$30))</f>
        <v>#DIV/0!</v>
      </c>
      <c r="AW66" s="81" t="e">
        <f t="array" ref="AW66">_xlfn.STDEV.P(IF($E$5:$E$30=$E65,AW$5:AW$30))</f>
        <v>#DIV/0!</v>
      </c>
      <c r="AX66" s="81" t="e">
        <f t="array" ref="AX66">_xlfn.STDEV.P(IF($E$5:$E$30=$E65,AX$5:AX$30))</f>
        <v>#DIV/0!</v>
      </c>
      <c r="AY66" s="81" t="e">
        <f t="array" ref="AY66">_xlfn.STDEV.P(IF($E$5:$E$30=$E65,AY$5:AY$30))</f>
        <v>#DIV/0!</v>
      </c>
      <c r="AZ66" s="81" t="e">
        <f t="array" ref="AZ66">_xlfn.STDEV.P(IF($E$5:$E$30=$E65,AZ$5:AZ$30))</f>
        <v>#DIV/0!</v>
      </c>
      <c r="BA66" s="81" t="e">
        <f t="array" ref="BA66">_xlfn.STDEV.P(IF($E$5:$E$30=$E65,BA$5:BA$30))</f>
        <v>#DIV/0!</v>
      </c>
      <c r="BB66" s="81" t="e">
        <f t="array" ref="BB66">_xlfn.STDEV.P(IF($E$5:$E$30=$E65,BB$5:BB$30))</f>
        <v>#DIV/0!</v>
      </c>
      <c r="BC66" s="81" t="e">
        <f t="array" ref="BC66">_xlfn.STDEV.P(IF($E$5:$E$30=$E65,BC$5:BC$30))</f>
        <v>#DIV/0!</v>
      </c>
      <c r="BD66" s="81" t="e">
        <f t="array" ref="BD66">_xlfn.STDEV.P(IF($E$5:$E$30=$E65,BD$5:BD$30))</f>
        <v>#DIV/0!</v>
      </c>
      <c r="BE66" s="81" t="e">
        <f t="array" ref="BE66">_xlfn.STDEV.P(IF($E$5:$E$30=$E65,BE$5:BE$30))</f>
        <v>#DIV/0!</v>
      </c>
      <c r="BF66" s="81" t="e">
        <f t="array" ref="BF66">_xlfn.STDEV.P(IF($E$5:$E$30=$E65,BF$5:BF$30))</f>
        <v>#DIV/0!</v>
      </c>
      <c r="BG66" s="81" t="e">
        <f t="array" ref="BG66">_xlfn.STDEV.P(IF($E$5:$E$30=$E65,BG$5:BG$30))</f>
        <v>#DIV/0!</v>
      </c>
      <c r="BH66" s="81" t="e">
        <f t="array" ref="BH66">_xlfn.STDEV.P(IF($E$5:$E$30=$E65,BH$5:BH$30))</f>
        <v>#DIV/0!</v>
      </c>
      <c r="BI66" s="81" t="e">
        <f t="array" ref="BI66">_xlfn.STDEV.P(IF($E$5:$E$30=$E65,BI$5:BI$30))</f>
        <v>#DIV/0!</v>
      </c>
      <c r="BJ66" s="81" t="e">
        <f t="array" ref="BJ66">_xlfn.STDEV.P(IF($E$5:$E$30=$E65,BJ$5:BJ$30))</f>
        <v>#DIV/0!</v>
      </c>
      <c r="BK66" s="81" t="e">
        <f t="array" ref="BK66">_xlfn.STDEV.P(IF($E$5:$E$30=$E65,BK$5:BK$30))</f>
        <v>#DIV/0!</v>
      </c>
      <c r="BL66" s="81" t="e">
        <f t="array" ref="BL66">_xlfn.STDEV.P(IF($E$5:$E$30=$E65,BL$5:BL$30))</f>
        <v>#DIV/0!</v>
      </c>
      <c r="BM66" s="81" t="e">
        <f t="array" ref="BM66">_xlfn.STDEV.P(IF($E$5:$E$30=$E65,BM$5:BM$30))</f>
        <v>#DIV/0!</v>
      </c>
      <c r="BN66" s="81" t="e">
        <f t="array" ref="BN66">_xlfn.STDEV.P(IF($E$5:$E$30=$E65,BN$5:BN$30))</f>
        <v>#DIV/0!</v>
      </c>
      <c r="BO66" s="81" t="e">
        <f t="array" ref="BO66">_xlfn.STDEV.P(IF($E$5:$E$30=$E65,BO$5:BO$30))</f>
        <v>#DIV/0!</v>
      </c>
      <c r="BP66" s="81" t="e">
        <f t="array" ref="BP66">_xlfn.STDEV.P(IF($E$5:$E$30=$E65,BP$5:BP$30))</f>
        <v>#DIV/0!</v>
      </c>
      <c r="BQ66" s="104" t="s">
        <v>11</v>
      </c>
      <c r="BR66" s="74" t="e">
        <f t="array" ref="BR66">_xlfn.STDEV.P(IF($E$5:$E$30=$E65,BR$5:BR$30))</f>
        <v>#DIV/0!</v>
      </c>
      <c r="BS66" s="74" t="e">
        <f t="array" ref="BS66">_xlfn.STDEV.P(IF($E$5:$E$30=$E65,BS$5:BS$30))</f>
        <v>#DIV/0!</v>
      </c>
      <c r="BT66" s="74" t="e">
        <f t="array" ref="BT66">_xlfn.STDEV.P(IF($E$5:$E$30=$E65,BT$5:BT$30))</f>
        <v>#DIV/0!</v>
      </c>
      <c r="BU66" s="74" t="e">
        <f t="array" ref="BU66">_xlfn.STDEV.P(IF($E$5:$E$30=$E65,BU$5:BU$30))</f>
        <v>#DIV/0!</v>
      </c>
      <c r="BV66" s="74" t="e">
        <f t="array" ref="BV66">_xlfn.STDEV.P(IF($E$5:$E$30=$E65,BV$5:BV$30))</f>
        <v>#DIV/0!</v>
      </c>
      <c r="BW66" s="74" t="e">
        <f t="array" ref="BW66">_xlfn.STDEV.P(IF($E$5:$E$30=$E65,BW$5:BW$30))</f>
        <v>#DIV/0!</v>
      </c>
      <c r="BX66" s="74" t="e">
        <f t="array" ref="BX66">_xlfn.STDEV.P(IF($E$5:$E$30=$E65,BX$5:BX$30))</f>
        <v>#DIV/0!</v>
      </c>
      <c r="BY66" s="74" t="e">
        <f t="array" ref="BY66">_xlfn.STDEV.P(IF($E$5:$E$30=$E65,BY$5:BY$30))</f>
        <v>#DIV/0!</v>
      </c>
      <c r="BZ66" s="74" t="e">
        <f t="array" ref="BZ66">_xlfn.STDEV.P(IF($E$5:$E$30=$E65,BZ$5:BZ$30))</f>
        <v>#DIV/0!</v>
      </c>
      <c r="CA66" s="74" t="e">
        <f t="array" ref="CA66">_xlfn.STDEV.P(IF($E$5:$E$30=$E65,CA$5:CA$30))</f>
        <v>#DIV/0!</v>
      </c>
      <c r="CB66" s="74" t="e">
        <f t="array" ref="CB66">_xlfn.STDEV.P(IF($E$5:$E$30=$E65,CB$5:CB$30))</f>
        <v>#DIV/0!</v>
      </c>
      <c r="CC66" s="74" t="e">
        <f t="array" ref="CC66">_xlfn.STDEV.P(IF($E$5:$E$30=$E65,CC$5:CC$30))</f>
        <v>#DIV/0!</v>
      </c>
      <c r="CD66" s="74" t="e">
        <f t="array" ref="CD66">_xlfn.STDEV.P(IF($E$5:$E$30=$E65,CD$5:CD$30))</f>
        <v>#DIV/0!</v>
      </c>
      <c r="CE66" s="74" t="e">
        <f t="array" ref="CE66">_xlfn.STDEV.P(IF($E$5:$E$30=$E65,CE$5:CE$30))</f>
        <v>#DIV/0!</v>
      </c>
      <c r="CF66" s="74" t="e">
        <f t="array" ref="CF66">_xlfn.STDEV.P(IF($E$5:$E$30=$E65,CF$5:CF$30))</f>
        <v>#DIV/0!</v>
      </c>
      <c r="CG66" s="74" t="e">
        <f t="array" ref="CG66">_xlfn.STDEV.P(IF($E$5:$E$30=$E65,CG$5:CG$30))</f>
        <v>#DIV/0!</v>
      </c>
      <c r="CH66" s="74" t="e">
        <f t="array" ref="CH66">_xlfn.STDEV.P(IF($E$5:$E$30=$E65,CH$5:CH$30))</f>
        <v>#DIV/0!</v>
      </c>
      <c r="CI66" s="74" t="e">
        <f t="array" ref="CI66">_xlfn.STDEV.P(IF($E$5:$E$30=$E65,CI$5:CI$30))</f>
        <v>#DIV/0!</v>
      </c>
      <c r="CJ66" s="74" t="e">
        <f t="array" ref="CJ66">_xlfn.STDEV.P(IF($E$5:$E$30=$E65,CJ$5:CJ$30))</f>
        <v>#DIV/0!</v>
      </c>
      <c r="CK66" s="74" t="e">
        <f t="array" ref="CK66">_xlfn.STDEV.P(IF($E$5:$E$30=$E65,CK$5:CK$30))</f>
        <v>#DIV/0!</v>
      </c>
      <c r="CL66" s="74" t="e">
        <f t="array" ref="CL66">_xlfn.STDEV.P(IF($E$5:$E$30=$E65,CL$5:CL$30))</f>
        <v>#DIV/0!</v>
      </c>
      <c r="CM66" s="74" t="e">
        <f t="array" ref="CM66">_xlfn.STDEV.P(IF($E$5:$E$30=$E65,CM$5:CM$30))</f>
        <v>#DIV/0!</v>
      </c>
      <c r="CN66" s="74" t="e">
        <f t="array" ref="CN66">_xlfn.STDEV.P(IF($E$5:$E$30=$E65,CN$5:CN$30))</f>
        <v>#DIV/0!</v>
      </c>
      <c r="CO66" s="74" t="e">
        <f t="array" ref="CO66">_xlfn.STDEV.P(IF($E$5:$E$30=$E65,CO$5:CO$30))</f>
        <v>#DIV/0!</v>
      </c>
      <c r="CP66" s="74" t="e">
        <f t="array" ref="CP66">_xlfn.STDEV.P(IF($E$5:$E$30=$E65,CP$5:CP$30))</f>
        <v>#DIV/0!</v>
      </c>
      <c r="CQ66" s="74" t="e">
        <f t="array" ref="CQ66">_xlfn.STDEV.P(IF($E$5:$E$30=$E65,CQ$5:CQ$30))</f>
        <v>#DIV/0!</v>
      </c>
      <c r="CR66" s="74" t="e">
        <f t="array" ref="CR66">_xlfn.STDEV.P(IF($E$5:$E$30=$E65,CR$5:CR$30))</f>
        <v>#DIV/0!</v>
      </c>
      <c r="CS66" s="74" t="e">
        <f t="array" ref="CS66">_xlfn.STDEV.P(IF($E$5:$E$30=$E65,CS$5:CS$30))</f>
        <v>#DIV/0!</v>
      </c>
      <c r="CT66" s="74" t="e">
        <f t="array" ref="CT66">_xlfn.STDEV.P(IF($E$5:$E$30=$E65,CT$5:CT$30))</f>
        <v>#DIV/0!</v>
      </c>
      <c r="CU66" s="74" t="e">
        <f t="array" ref="CU66">_xlfn.STDEV.P(IF($E$5:$E$30=$E65,CU$5:CU$30))</f>
        <v>#DIV/0!</v>
      </c>
      <c r="CV66" s="74" t="e">
        <f t="array" ref="CV66">_xlfn.STDEV.P(IF($E$5:$E$30=$E65,CV$5:CV$30))</f>
        <v>#DIV/0!</v>
      </c>
      <c r="CW66" s="74" t="e">
        <f t="array" ref="CW66">_xlfn.STDEV.P(IF($E$5:$E$30=$E65,CW$5:CW$30))</f>
        <v>#DIV/0!</v>
      </c>
      <c r="CX66" s="74" t="e">
        <f t="array" ref="CX66">_xlfn.STDEV.P(IF($E$5:$E$30=$E65,CX$5:CX$30))</f>
        <v>#DIV/0!</v>
      </c>
      <c r="CY66" s="74" t="e">
        <f t="array" ref="CY66">_xlfn.STDEV.P(IF($E$5:$E$30=$E65,CY$5:CY$30))</f>
        <v>#DIV/0!</v>
      </c>
      <c r="CZ66" s="74" t="e">
        <f t="array" ref="CZ66">_xlfn.STDEV.P(IF($E$5:$E$30=$E65,CZ$5:CZ$30))</f>
        <v>#DIV/0!</v>
      </c>
      <c r="DA66" s="74" t="e">
        <f t="array" ref="DA66">_xlfn.STDEV.P(IF($E$5:$E$30=$E65,DA$5:DA$30))</f>
        <v>#DIV/0!</v>
      </c>
      <c r="DB66" s="74" t="e">
        <f t="array" ref="DB66">_xlfn.STDEV.P(IF($E$5:$E$30=$E65,DB$5:DB$30))</f>
        <v>#DIV/0!</v>
      </c>
      <c r="DC66" s="74" t="e">
        <f t="array" ref="DC66">_xlfn.STDEV.P(IF($E$5:$E$30=$E65,DC$5:DC$30))</f>
        <v>#DIV/0!</v>
      </c>
      <c r="DD66" s="74" t="e">
        <f t="array" ref="DD66">_xlfn.STDEV.P(IF($E$5:$E$30=$E65,DD$5:DD$30))</f>
        <v>#DIV/0!</v>
      </c>
      <c r="DE66" s="74" t="e">
        <f t="array" ref="DE66">_xlfn.STDEV.P(IF($E$5:$E$30=$E65,DE$5:DE$30))</f>
        <v>#DIV/0!</v>
      </c>
      <c r="DF66" s="74" t="e">
        <f t="array" ref="DF66">_xlfn.STDEV.P(IF($E$5:$E$30=$E65,DF$5:DF$30))</f>
        <v>#DIV/0!</v>
      </c>
      <c r="DG66" s="74" t="e">
        <f t="array" ref="DG66">_xlfn.STDEV.P(IF($E$5:$E$30=$E65,DG$5:DG$30))</f>
        <v>#DIV/0!</v>
      </c>
      <c r="DH66" s="74" t="e">
        <f t="array" ref="DH66">_xlfn.STDEV.P(IF($E$5:$E$30=$E65,DH$5:DH$30))</f>
        <v>#DIV/0!</v>
      </c>
      <c r="DI66" s="74" t="e">
        <f t="array" ref="DI66">_xlfn.STDEV.P(IF($E$5:$E$30=$E65,DI$5:DI$30))</f>
        <v>#DIV/0!</v>
      </c>
      <c r="DJ66" s="74" t="e">
        <f t="array" ref="DJ66">_xlfn.STDEV.P(IF($E$5:$E$30=$E65,DJ$5:DJ$30))</f>
        <v>#DIV/0!</v>
      </c>
      <c r="DK66" s="74" t="e">
        <f t="array" ref="DK66">_xlfn.STDEV.P(IF($E$5:$E$30=$E65,DK$5:DK$30))</f>
        <v>#DIV/0!</v>
      </c>
    </row>
    <row r="67" spans="1:115" ht="15">
      <c r="A67" s="113"/>
      <c r="E67" s="118"/>
      <c r="I67" s="52"/>
      <c r="K67" s="57"/>
      <c r="L67" s="57"/>
      <c r="P67" s="57"/>
      <c r="Q67" s="57"/>
      <c r="R67" s="57"/>
      <c r="S67" s="243"/>
      <c r="T67" s="243"/>
      <c r="U67" s="57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DF67" s="44"/>
      <c r="DG67" s="44"/>
      <c r="DH67" s="44"/>
      <c r="DI67" s="44"/>
      <c r="DJ67" s="44"/>
      <c r="DK67" s="44"/>
    </row>
    <row r="68" spans="1:115" ht="14.25" customHeight="1">
      <c r="A68" s="113"/>
      <c r="E68" s="118" t="str">
        <f>'FIG6 Groups'!C15</f>
        <v>Group 10</v>
      </c>
      <c r="I68" s="118" t="str">
        <f>E68</f>
        <v>Group 10</v>
      </c>
      <c r="J68" s="107" t="e">
        <f>AVERAGEIF($E$5:$E$30,$E68,J$5:J$30)</f>
        <v>#DIV/0!</v>
      </c>
      <c r="K68" s="107"/>
      <c r="L68" s="107"/>
      <c r="M68" s="107" t="e">
        <f>AVERAGEIF($E$5:$E$30,$E68,M$5:M$30)</f>
        <v>#DIV/0!</v>
      </c>
      <c r="N68" s="107" t="e">
        <f>AVERAGEIF($E$5:$E$30,$E68,N$5:N$30)</f>
        <v>#DIV/0!</v>
      </c>
      <c r="O68" s="107" t="e">
        <f>AVERAGEIF($E$5:$E$30,$E68,O$5:O$30)</f>
        <v>#DIV/0!</v>
      </c>
      <c r="P68" s="107" t="e">
        <f>AVERAGEIF($E$5:$E$30,$E68,P$5:P$30)</f>
        <v>#DIV/0!</v>
      </c>
      <c r="Q68" s="107" t="e">
        <f>AVERAGEIF($E$5:$E$30,$E68,Q$5:Q$30)</f>
        <v>#DIV/0!</v>
      </c>
      <c r="R68" s="107" t="e">
        <f>AVERAGEIF($E$5:$E$30,$E68,R$5:R$30)</f>
        <v>#DIV/0!</v>
      </c>
      <c r="S68" s="244"/>
      <c r="T68" s="244" t="e">
        <f>AVERAGEIF($E$5:$E$30,$E68,T$5:T$30)</f>
        <v>#DIV/0!</v>
      </c>
      <c r="U68" s="107" t="e">
        <f>AVERAGEIF($E$5:$E$30,$E68,U$5:U$30)</f>
        <v>#DIV/0!</v>
      </c>
      <c r="V68" s="72" t="s">
        <v>9</v>
      </c>
      <c r="W68" s="78" t="e">
        <f>AVERAGEIF($E$5:$E$30,$E68,W$5:W$30)</f>
        <v>#DIV/0!</v>
      </c>
      <c r="X68" s="78" t="e">
        <f>AVERAGEIF($E$5:$E$30,$E68,X$5:X$30)</f>
        <v>#DIV/0!</v>
      </c>
      <c r="Y68" s="78" t="e">
        <f>AVERAGEIF($E$5:$E$30,$E68,Y$5:Y$30)</f>
        <v>#DIV/0!</v>
      </c>
      <c r="Z68" s="78" t="e">
        <f>AVERAGEIF($E$5:$E$30,$E68,Z$5:Z$30)</f>
        <v>#DIV/0!</v>
      </c>
      <c r="AA68" s="78" t="e">
        <f>AVERAGEIF($E$5:$E$30,$E68,AA$5:AA$30)</f>
        <v>#DIV/0!</v>
      </c>
      <c r="AB68" s="78" t="e">
        <f>AVERAGEIF($E$5:$E$30,$E68,AB$5:AB$30)</f>
        <v>#DIV/0!</v>
      </c>
      <c r="AC68" s="78" t="e">
        <f>AVERAGEIF($E$5:$E$30,$E68,AC$5:AC$30)</f>
        <v>#DIV/0!</v>
      </c>
      <c r="AD68" s="78" t="e">
        <f>AVERAGEIF($E$5:$E$30,$E68,AD$5:AD$30)</f>
        <v>#DIV/0!</v>
      </c>
      <c r="AE68" s="78" t="e">
        <f>AVERAGEIF($E$5:$E$30,$E68,AE$5:AE$30)</f>
        <v>#DIV/0!</v>
      </c>
      <c r="AF68" s="78" t="e">
        <f>AVERAGEIF($E$5:$E$30,$E68,AF$5:AF$30)</f>
        <v>#DIV/0!</v>
      </c>
      <c r="AG68" s="78" t="e">
        <f>AVERAGEIF($E$5:$E$30,$E68,AG$5:AG$30)</f>
        <v>#DIV/0!</v>
      </c>
      <c r="AH68" s="78" t="e">
        <f>AVERAGEIF($E$5:$E$30,$E68,AH$5:AH$30)</f>
        <v>#DIV/0!</v>
      </c>
      <c r="AI68" s="78" t="e">
        <f>AVERAGEIF($E$5:$E$30,$E68,AI$5:AI$30)</f>
        <v>#DIV/0!</v>
      </c>
      <c r="AJ68" s="78" t="e">
        <f>AVERAGEIF($E$5:$E$30,$E68,AJ$5:AJ$30)</f>
        <v>#DIV/0!</v>
      </c>
      <c r="AK68" s="78" t="e">
        <f>AVERAGEIF($E$5:$E$30,$E68,AK$5:AK$30)</f>
        <v>#DIV/0!</v>
      </c>
      <c r="AL68" s="78" t="e">
        <f>AVERAGEIF($E$5:$E$30,$E68,AL$5:AL$30)</f>
        <v>#DIV/0!</v>
      </c>
      <c r="AM68" s="78" t="e">
        <f>AVERAGEIF($E$5:$E$30,$E68,AM$5:AM$30)</f>
        <v>#DIV/0!</v>
      </c>
      <c r="AN68" s="78" t="e">
        <f>AVERAGEIF($E$5:$E$30,$E68,AN$5:AN$30)</f>
        <v>#DIV/0!</v>
      </c>
      <c r="AO68" s="78" t="e">
        <f>AVERAGEIF($E$5:$E$30,$E68,AO$5:AO$30)</f>
        <v>#DIV/0!</v>
      </c>
      <c r="AP68" s="78" t="e">
        <f>AVERAGEIF($E$5:$E$30,$E68,AP$5:AP$30)</f>
        <v>#DIV/0!</v>
      </c>
      <c r="AQ68" s="78" t="e">
        <f>AVERAGEIF($E$5:$E$30,$E68,AQ$5:AQ$30)</f>
        <v>#DIV/0!</v>
      </c>
      <c r="AR68" s="78" t="e">
        <f>AVERAGEIF($E$5:$E$30,$E68,AR$5:AR$30)</f>
        <v>#DIV/0!</v>
      </c>
      <c r="AS68" s="78" t="e">
        <f>AVERAGEIF($E$5:$E$30,$E68,AS$5:AS$30)</f>
        <v>#DIV/0!</v>
      </c>
      <c r="AT68" s="78" t="e">
        <f>AVERAGEIF($E$5:$E$30,$E68,AT$5:AT$30)</f>
        <v>#DIV/0!</v>
      </c>
      <c r="AU68" s="78" t="e">
        <f>AVERAGEIF($E$5:$E$30,$E68,AU$5:AU$30)</f>
        <v>#DIV/0!</v>
      </c>
      <c r="AV68" s="78" t="e">
        <f>AVERAGEIF($E$5:$E$30,$E68,AV$5:AV$30)</f>
        <v>#DIV/0!</v>
      </c>
      <c r="AW68" s="78" t="e">
        <f>AVERAGEIF($E$5:$E$30,$E68,AW$5:AW$30)</f>
        <v>#DIV/0!</v>
      </c>
      <c r="AX68" s="78" t="e">
        <f>AVERAGEIF($E$5:$E$30,$E68,AX$5:AX$30)</f>
        <v>#DIV/0!</v>
      </c>
      <c r="AY68" s="78" t="e">
        <f>AVERAGEIF($E$5:$E$30,$E68,AY$5:AY$30)</f>
        <v>#DIV/0!</v>
      </c>
      <c r="AZ68" s="78" t="e">
        <f>AVERAGEIF($E$5:$E$30,$E68,AZ$5:AZ$30)</f>
        <v>#DIV/0!</v>
      </c>
      <c r="BA68" s="78" t="e">
        <f>AVERAGEIF($E$5:$E$30,$E68,BA$5:BA$30)</f>
        <v>#DIV/0!</v>
      </c>
      <c r="BB68" s="78" t="e">
        <f>AVERAGEIF($E$5:$E$30,$E68,BB$5:BB$30)</f>
        <v>#DIV/0!</v>
      </c>
      <c r="BC68" s="78" t="e">
        <f>AVERAGEIF($E$5:$E$30,$E68,BC$5:BC$30)</f>
        <v>#DIV/0!</v>
      </c>
      <c r="BD68" s="78" t="e">
        <f>AVERAGEIF($E$5:$E$30,$E68,BD$5:BD$30)</f>
        <v>#DIV/0!</v>
      </c>
      <c r="BE68" s="78" t="e">
        <f>AVERAGEIF($E$5:$E$30,$E68,BE$5:BE$30)</f>
        <v>#DIV/0!</v>
      </c>
      <c r="BF68" s="78" t="e">
        <f>AVERAGEIF($E$5:$E$30,$E68,BF$5:BF$30)</f>
        <v>#DIV/0!</v>
      </c>
      <c r="BG68" s="78" t="e">
        <f>AVERAGEIF($E$5:$E$30,$E68,BG$5:BG$30)</f>
        <v>#DIV/0!</v>
      </c>
      <c r="BH68" s="78" t="e">
        <f>AVERAGEIF($E$5:$E$30,$E68,BH$5:BH$30)</f>
        <v>#DIV/0!</v>
      </c>
      <c r="BI68" s="78" t="e">
        <f>AVERAGEIF($E$5:$E$30,$E68,BI$5:BI$30)</f>
        <v>#DIV/0!</v>
      </c>
      <c r="BJ68" s="78" t="e">
        <f>AVERAGEIF($E$5:$E$30,$E68,BJ$5:BJ$30)</f>
        <v>#DIV/0!</v>
      </c>
      <c r="BK68" s="78" t="e">
        <f>AVERAGEIF($E$5:$E$30,$E68,BK$5:BK$30)</f>
        <v>#DIV/0!</v>
      </c>
      <c r="BL68" s="78" t="e">
        <f>AVERAGEIF($E$5:$E$30,$E68,BL$5:BL$30)</f>
        <v>#DIV/0!</v>
      </c>
      <c r="BM68" s="78" t="e">
        <f>AVERAGEIF($E$5:$E$30,$E68,BM$5:BM$30)</f>
        <v>#DIV/0!</v>
      </c>
      <c r="BN68" s="78" t="e">
        <f>AVERAGEIF($E$5:$E$30,$E68,BN$5:BN$30)</f>
        <v>#DIV/0!</v>
      </c>
      <c r="BO68" s="78" t="e">
        <f>AVERAGEIF($E$5:$E$30,$E68,BO$5:BO$30)</f>
        <v>#DIV/0!</v>
      </c>
      <c r="BP68" s="78" t="e">
        <f>AVERAGEIF($E$5:$E$30,$E68,BP$5:BP$30)</f>
        <v>#DIV/0!</v>
      </c>
      <c r="BQ68" s="103" t="s">
        <v>9</v>
      </c>
      <c r="BR68" s="73" t="e">
        <f>AVERAGEIF($E$5:$E$30,$E68,BR$5:BR$30)</f>
        <v>#DIV/0!</v>
      </c>
      <c r="BS68" s="73" t="e">
        <f>AVERAGEIF($E$5:$E$30,$E68,BS$5:BS$30)</f>
        <v>#DIV/0!</v>
      </c>
      <c r="BT68" s="73" t="e">
        <f>AVERAGEIF($E$5:$E$30,$E68,BT$5:BT$30)</f>
        <v>#DIV/0!</v>
      </c>
      <c r="BU68" s="73" t="e">
        <f>AVERAGEIF($E$5:$E$30,$E68,BU$5:BU$30)</f>
        <v>#DIV/0!</v>
      </c>
      <c r="BV68" s="73" t="e">
        <f>AVERAGEIF($E$5:$E$30,$E68,BV$5:BV$30)</f>
        <v>#DIV/0!</v>
      </c>
      <c r="BW68" s="73" t="e">
        <f>AVERAGEIF($E$5:$E$30,$E68,BW$5:BW$30)</f>
        <v>#DIV/0!</v>
      </c>
      <c r="BX68" s="73" t="e">
        <f>AVERAGEIF($E$5:$E$30,$E68,BX$5:BX$30)</f>
        <v>#DIV/0!</v>
      </c>
      <c r="BY68" s="73" t="e">
        <f>AVERAGEIF($E$5:$E$30,$E68,BY$5:BY$30)</f>
        <v>#DIV/0!</v>
      </c>
      <c r="BZ68" s="73" t="e">
        <f>AVERAGEIF($E$5:$E$30,$E68,BZ$5:BZ$30)</f>
        <v>#DIV/0!</v>
      </c>
      <c r="CA68" s="73" t="e">
        <f>AVERAGEIF($E$5:$E$30,$E68,CA$5:CA$30)</f>
        <v>#DIV/0!</v>
      </c>
      <c r="CB68" s="73" t="e">
        <f>AVERAGEIF($E$5:$E$30,$E68,CB$5:CB$30)</f>
        <v>#DIV/0!</v>
      </c>
      <c r="CC68" s="73" t="e">
        <f>AVERAGEIF($E$5:$E$30,$E68,CC$5:CC$30)</f>
        <v>#DIV/0!</v>
      </c>
      <c r="CD68" s="73" t="e">
        <f>AVERAGEIF($E$5:$E$30,$E68,CD$5:CD$30)</f>
        <v>#DIV/0!</v>
      </c>
      <c r="CE68" s="73" t="e">
        <f>AVERAGEIF($E$5:$E$30,$E68,CE$5:CE$30)</f>
        <v>#DIV/0!</v>
      </c>
      <c r="CF68" s="73" t="e">
        <f>AVERAGEIF($E$5:$E$30,$E68,CF$5:CF$30)</f>
        <v>#DIV/0!</v>
      </c>
      <c r="CG68" s="73" t="e">
        <f>AVERAGEIF($E$5:$E$30,$E68,CG$5:CG$30)</f>
        <v>#DIV/0!</v>
      </c>
      <c r="CH68" s="73" t="e">
        <f>AVERAGEIF($E$5:$E$30,$E68,CH$5:CH$30)</f>
        <v>#DIV/0!</v>
      </c>
      <c r="CI68" s="73" t="e">
        <f>AVERAGEIF($E$5:$E$30,$E68,CI$5:CI$30)</f>
        <v>#DIV/0!</v>
      </c>
      <c r="CJ68" s="73" t="e">
        <f>AVERAGEIF($E$5:$E$30,$E68,CJ$5:CJ$30)</f>
        <v>#DIV/0!</v>
      </c>
      <c r="CK68" s="73" t="e">
        <f>AVERAGEIF($E$5:$E$30,$E68,CK$5:CK$30)</f>
        <v>#DIV/0!</v>
      </c>
      <c r="CL68" s="73" t="e">
        <f>AVERAGEIF($E$5:$E$30,$E68,CL$5:CL$30)</f>
        <v>#DIV/0!</v>
      </c>
      <c r="CM68" s="73" t="e">
        <f>AVERAGEIF($E$5:$E$30,$E68,CM$5:CM$30)</f>
        <v>#DIV/0!</v>
      </c>
      <c r="CN68" s="73" t="e">
        <f>AVERAGEIF($E$5:$E$30,$E68,CN$5:CN$30)</f>
        <v>#DIV/0!</v>
      </c>
      <c r="CO68" s="73" t="e">
        <f>AVERAGEIF($E$5:$E$30,$E68,CO$5:CO$30)</f>
        <v>#DIV/0!</v>
      </c>
      <c r="CP68" s="73" t="e">
        <f>AVERAGEIF($E$5:$E$30,$E68,CP$5:CP$30)</f>
        <v>#DIV/0!</v>
      </c>
      <c r="CQ68" s="73" t="e">
        <f>AVERAGEIF($E$5:$E$30,$E68,CQ$5:CQ$30)</f>
        <v>#DIV/0!</v>
      </c>
      <c r="CR68" s="73" t="e">
        <f>AVERAGEIF($E$5:$E$30,$E68,CR$5:CR$30)</f>
        <v>#DIV/0!</v>
      </c>
      <c r="CS68" s="73" t="e">
        <f>AVERAGEIF($E$5:$E$30,$E68,CS$5:CS$30)</f>
        <v>#DIV/0!</v>
      </c>
      <c r="CT68" s="73" t="e">
        <f>AVERAGEIF($E$5:$E$30,$E68,CT$5:CT$30)</f>
        <v>#DIV/0!</v>
      </c>
      <c r="CU68" s="73" t="e">
        <f>AVERAGEIF($E$5:$E$30,$E68,CU$5:CU$30)</f>
        <v>#DIV/0!</v>
      </c>
      <c r="CV68" s="73" t="e">
        <f>AVERAGEIF($E$5:$E$30,$E68,CV$5:CV$30)</f>
        <v>#DIV/0!</v>
      </c>
      <c r="CW68" s="73" t="e">
        <f>AVERAGEIF($E$5:$E$30,$E68,CW$5:CW$30)</f>
        <v>#DIV/0!</v>
      </c>
      <c r="CX68" s="73" t="e">
        <f>AVERAGEIF($E$5:$E$30,$E68,CX$5:CX$30)</f>
        <v>#DIV/0!</v>
      </c>
      <c r="CY68" s="73" t="e">
        <f>AVERAGEIF($E$5:$E$30,$E68,CY$5:CY$30)</f>
        <v>#DIV/0!</v>
      </c>
      <c r="CZ68" s="73" t="e">
        <f>AVERAGEIF($E$5:$E$30,$E68,CZ$5:CZ$30)</f>
        <v>#DIV/0!</v>
      </c>
      <c r="DA68" s="73" t="e">
        <f>AVERAGEIF($E$5:$E$30,$E68,DA$5:DA$30)</f>
        <v>#DIV/0!</v>
      </c>
      <c r="DB68" s="73" t="e">
        <f>AVERAGEIF($E$5:$E$30,$E68,DB$5:DB$30)</f>
        <v>#DIV/0!</v>
      </c>
      <c r="DC68" s="73" t="e">
        <f>AVERAGEIF($E$5:$E$30,$E68,DC$5:DC$30)</f>
        <v>#DIV/0!</v>
      </c>
      <c r="DD68" s="73" t="e">
        <f>AVERAGEIF($E$5:$E$30,$E68,DD$5:DD$30)</f>
        <v>#DIV/0!</v>
      </c>
      <c r="DE68" s="73" t="e">
        <f>AVERAGEIF($E$5:$E$30,$E68,DE$5:DE$30)</f>
        <v>#DIV/0!</v>
      </c>
      <c r="DF68" s="73" t="e">
        <f>AVERAGEIF($E$5:$E$30,$E68,DF$5:DF$30)</f>
        <v>#DIV/0!</v>
      </c>
      <c r="DG68" s="73" t="e">
        <f>AVERAGEIF($E$5:$E$30,$E68,DG$5:DG$30)</f>
        <v>#DIV/0!</v>
      </c>
      <c r="DH68" s="73" t="e">
        <f>AVERAGEIF($E$5:$E$30,$E68,DH$5:DH$30)</f>
        <v>#DIV/0!</v>
      </c>
      <c r="DI68" s="73" t="e">
        <f>AVERAGEIF($E$5:$E$30,$E68,DI$5:DI$30)</f>
        <v>#DIV/0!</v>
      </c>
      <c r="DJ68" s="73" t="e">
        <f>AVERAGEIF($E$5:$E$30,$E68,DJ$5:DJ$30)</f>
        <v>#DIV/0!</v>
      </c>
      <c r="DK68" s="73" t="e">
        <f>AVERAGEIF($E$5:$E$30,$E68,DK$5:DK$30)</f>
        <v>#DIV/0!</v>
      </c>
    </row>
    <row r="69" spans="1:115" ht="14.25" customHeight="1">
      <c r="A69" s="113"/>
      <c r="E69" s="93"/>
      <c r="I69" s="93"/>
      <c r="J69" s="107" t="e">
        <f t="array" ref="J69">_xlfn.STDEV.P(IF($E$5:$E$30=$E68,J$5:J$30))</f>
        <v>#DIV/0!</v>
      </c>
      <c r="K69" s="107"/>
      <c r="L69" s="107"/>
      <c r="M69" s="107" t="e">
        <f t="array" ref="M69">_xlfn.STDEV.P(IF($E$5:$E$30=$E68,M$5:M$30))</f>
        <v>#DIV/0!</v>
      </c>
      <c r="N69" s="107" t="e">
        <f t="array" ref="N69">_xlfn.STDEV.P(IF($E$5:$E$30=$E68,N$5:N$30))</f>
        <v>#DIV/0!</v>
      </c>
      <c r="O69" s="107" t="e">
        <f t="array" ref="O69">_xlfn.STDEV.P(IF($E$5:$E$30=$E68,O$5:O$30))</f>
        <v>#DIV/0!</v>
      </c>
      <c r="P69" s="107" t="e">
        <f t="array" ref="P69">_xlfn.STDEV.P(IF($E$5:$E$30=$E68,P$5:P$30))</f>
        <v>#DIV/0!</v>
      </c>
      <c r="Q69" s="107" t="e">
        <f t="array" ref="Q69">_xlfn.STDEV.P(IF($E$5:$E$30=$E68,Q$5:Q$30))</f>
        <v>#DIV/0!</v>
      </c>
      <c r="R69" s="107" t="e">
        <f t="array" ref="R69">_xlfn.STDEV.P(IF($E$5:$E$30=$E68,R$5:R$30))</f>
        <v>#DIV/0!</v>
      </c>
      <c r="S69" s="244"/>
      <c r="T69" s="244" t="e">
        <f t="array" ref="T69">_xlfn.STDEV.P(IF($E$5:$E$30=$E68,T$5:T$30))</f>
        <v>#DIV/0!</v>
      </c>
      <c r="U69" s="107" t="e">
        <f t="array" ref="U69">_xlfn.STDEV.P(IF($E$5:$E$30=$E68,U$5:U$30))</f>
        <v>#DIV/0!</v>
      </c>
      <c r="V69" s="72" t="s">
        <v>11</v>
      </c>
      <c r="W69" s="81" t="e">
        <f t="array" ref="W69">_xlfn.STDEV.P(IF($E$5:$E$30=$E68,W$5:W$30))</f>
        <v>#DIV/0!</v>
      </c>
      <c r="X69" s="81" t="e">
        <f t="array" ref="X69">_xlfn.STDEV.P(IF($E$5:$E$30=$E68,X$5:X$30))</f>
        <v>#DIV/0!</v>
      </c>
      <c r="Y69" s="81" t="e">
        <f t="array" ref="Y69">_xlfn.STDEV.P(IF($E$5:$E$30=$E68,Y$5:Y$30))</f>
        <v>#DIV/0!</v>
      </c>
      <c r="Z69" s="81" t="e">
        <f t="array" ref="Z69">_xlfn.STDEV.P(IF($E$5:$E$30=$E68,Z$5:Z$30))</f>
        <v>#DIV/0!</v>
      </c>
      <c r="AA69" s="81" t="e">
        <f t="array" ref="AA69">_xlfn.STDEV.P(IF($E$5:$E$30=$E68,AA$5:AA$30))</f>
        <v>#DIV/0!</v>
      </c>
      <c r="AB69" s="81" t="e">
        <f t="array" ref="AB69">_xlfn.STDEV.P(IF($E$5:$E$30=$E68,AB$5:AB$30))</f>
        <v>#DIV/0!</v>
      </c>
      <c r="AC69" s="81" t="e">
        <f t="array" ref="AC69">_xlfn.STDEV.P(IF($E$5:$E$30=$E68,AC$5:AC$30))</f>
        <v>#DIV/0!</v>
      </c>
      <c r="AD69" s="81" t="e">
        <f t="array" ref="AD69">_xlfn.STDEV.P(IF($E$5:$E$30=$E68,AD$5:AD$30))</f>
        <v>#DIV/0!</v>
      </c>
      <c r="AE69" s="81" t="e">
        <f t="array" ref="AE69">_xlfn.STDEV.P(IF($E$5:$E$30=$E68,AE$5:AE$30))</f>
        <v>#DIV/0!</v>
      </c>
      <c r="AF69" s="81" t="e">
        <f t="array" ref="AF69">_xlfn.STDEV.P(IF($E$5:$E$30=$E68,AF$5:AF$30))</f>
        <v>#DIV/0!</v>
      </c>
      <c r="AG69" s="81" t="e">
        <f t="array" ref="AG69">_xlfn.STDEV.P(IF($E$5:$E$30=$E68,AG$5:AG$30))</f>
        <v>#DIV/0!</v>
      </c>
      <c r="AH69" s="81" t="e">
        <f t="array" ref="AH69">_xlfn.STDEV.P(IF($E$5:$E$30=$E68,AH$5:AH$30))</f>
        <v>#DIV/0!</v>
      </c>
      <c r="AI69" s="81" t="e">
        <f t="array" ref="AI69">_xlfn.STDEV.P(IF($E$5:$E$30=$E68,AI$5:AI$30))</f>
        <v>#DIV/0!</v>
      </c>
      <c r="AJ69" s="81" t="e">
        <f t="array" ref="AJ69">_xlfn.STDEV.P(IF($E$5:$E$30=$E68,AJ$5:AJ$30))</f>
        <v>#DIV/0!</v>
      </c>
      <c r="AK69" s="81" t="e">
        <f t="array" ref="AK69">_xlfn.STDEV.P(IF($E$5:$E$30=$E68,AK$5:AK$30))</f>
        <v>#DIV/0!</v>
      </c>
      <c r="AL69" s="81" t="e">
        <f t="array" ref="AL69">_xlfn.STDEV.P(IF($E$5:$E$30=$E68,AL$5:AL$30))</f>
        <v>#DIV/0!</v>
      </c>
      <c r="AM69" s="81" t="e">
        <f t="array" ref="AM69">_xlfn.STDEV.P(IF($E$5:$E$30=$E68,AM$5:AM$30))</f>
        <v>#DIV/0!</v>
      </c>
      <c r="AN69" s="81" t="e">
        <f t="array" ref="AN69">_xlfn.STDEV.P(IF($E$5:$E$30=$E68,AN$5:AN$30))</f>
        <v>#DIV/0!</v>
      </c>
      <c r="AO69" s="81" t="e">
        <f t="array" ref="AO69">_xlfn.STDEV.P(IF($E$5:$E$30=$E68,AO$5:AO$30))</f>
        <v>#DIV/0!</v>
      </c>
      <c r="AP69" s="81" t="e">
        <f t="array" ref="AP69">_xlfn.STDEV.P(IF($E$5:$E$30=$E68,AP$5:AP$30))</f>
        <v>#DIV/0!</v>
      </c>
      <c r="AQ69" s="81" t="e">
        <f t="array" ref="AQ69">_xlfn.STDEV.P(IF($E$5:$E$30=$E68,AQ$5:AQ$30))</f>
        <v>#DIV/0!</v>
      </c>
      <c r="AR69" s="81" t="e">
        <f t="array" ref="AR69">_xlfn.STDEV.P(IF($E$5:$E$30=$E68,AR$5:AR$30))</f>
        <v>#DIV/0!</v>
      </c>
      <c r="AS69" s="81" t="e">
        <f t="array" ref="AS69">_xlfn.STDEV.P(IF($E$5:$E$30=$E68,AS$5:AS$30))</f>
        <v>#DIV/0!</v>
      </c>
      <c r="AT69" s="81" t="e">
        <f t="array" ref="AT69">_xlfn.STDEV.P(IF($E$5:$E$30=$E68,AT$5:AT$30))</f>
        <v>#DIV/0!</v>
      </c>
      <c r="AU69" s="81" t="e">
        <f t="array" ref="AU69">_xlfn.STDEV.P(IF($E$5:$E$30=$E68,AU$5:AU$30))</f>
        <v>#DIV/0!</v>
      </c>
      <c r="AV69" s="81" t="e">
        <f t="array" ref="AV69">_xlfn.STDEV.P(IF($E$5:$E$30=$E68,AV$5:AV$30))</f>
        <v>#DIV/0!</v>
      </c>
      <c r="AW69" s="81" t="e">
        <f t="array" ref="AW69">_xlfn.STDEV.P(IF($E$5:$E$30=$E68,AW$5:AW$30))</f>
        <v>#DIV/0!</v>
      </c>
      <c r="AX69" s="81" t="e">
        <f t="array" ref="AX69">_xlfn.STDEV.P(IF($E$5:$E$30=$E68,AX$5:AX$30))</f>
        <v>#DIV/0!</v>
      </c>
      <c r="AY69" s="81" t="e">
        <f t="array" ref="AY69">_xlfn.STDEV.P(IF($E$5:$E$30=$E68,AY$5:AY$30))</f>
        <v>#DIV/0!</v>
      </c>
      <c r="AZ69" s="81" t="e">
        <f t="array" ref="AZ69">_xlfn.STDEV.P(IF($E$5:$E$30=$E68,AZ$5:AZ$30))</f>
        <v>#DIV/0!</v>
      </c>
      <c r="BA69" s="81" t="e">
        <f t="array" ref="BA69">_xlfn.STDEV.P(IF($E$5:$E$30=$E68,BA$5:BA$30))</f>
        <v>#DIV/0!</v>
      </c>
      <c r="BB69" s="81" t="e">
        <f t="array" ref="BB69">_xlfn.STDEV.P(IF($E$5:$E$30=$E68,BB$5:BB$30))</f>
        <v>#DIV/0!</v>
      </c>
      <c r="BC69" s="81" t="e">
        <f t="array" ref="BC69">_xlfn.STDEV.P(IF($E$5:$E$30=$E68,BC$5:BC$30))</f>
        <v>#DIV/0!</v>
      </c>
      <c r="BD69" s="81" t="e">
        <f t="array" ref="BD69">_xlfn.STDEV.P(IF($E$5:$E$30=$E68,BD$5:BD$30))</f>
        <v>#DIV/0!</v>
      </c>
      <c r="BE69" s="81" t="e">
        <f t="array" ref="BE69">_xlfn.STDEV.P(IF($E$5:$E$30=$E68,BE$5:BE$30))</f>
        <v>#DIV/0!</v>
      </c>
      <c r="BF69" s="81" t="e">
        <f t="array" ref="BF69">_xlfn.STDEV.P(IF($E$5:$E$30=$E68,BF$5:BF$30))</f>
        <v>#DIV/0!</v>
      </c>
      <c r="BG69" s="81" t="e">
        <f t="array" ref="BG69">_xlfn.STDEV.P(IF($E$5:$E$30=$E68,BG$5:BG$30))</f>
        <v>#DIV/0!</v>
      </c>
      <c r="BH69" s="81" t="e">
        <f t="array" ref="BH69">_xlfn.STDEV.P(IF($E$5:$E$30=$E68,BH$5:BH$30))</f>
        <v>#DIV/0!</v>
      </c>
      <c r="BI69" s="81" t="e">
        <f t="array" ref="BI69">_xlfn.STDEV.P(IF($E$5:$E$30=$E68,BI$5:BI$30))</f>
        <v>#DIV/0!</v>
      </c>
      <c r="BJ69" s="81" t="e">
        <f t="array" ref="BJ69">_xlfn.STDEV.P(IF($E$5:$E$30=$E68,BJ$5:BJ$30))</f>
        <v>#DIV/0!</v>
      </c>
      <c r="BK69" s="81" t="e">
        <f t="array" ref="BK69">_xlfn.STDEV.P(IF($E$5:$E$30=$E68,BK$5:BK$30))</f>
        <v>#DIV/0!</v>
      </c>
      <c r="BL69" s="81" t="e">
        <f t="array" ref="BL69">_xlfn.STDEV.P(IF($E$5:$E$30=$E68,BL$5:BL$30))</f>
        <v>#DIV/0!</v>
      </c>
      <c r="BM69" s="81" t="e">
        <f t="array" ref="BM69">_xlfn.STDEV.P(IF($E$5:$E$30=$E68,BM$5:BM$30))</f>
        <v>#DIV/0!</v>
      </c>
      <c r="BN69" s="81" t="e">
        <f t="array" ref="BN69">_xlfn.STDEV.P(IF($E$5:$E$30=$E68,BN$5:BN$30))</f>
        <v>#DIV/0!</v>
      </c>
      <c r="BO69" s="81" t="e">
        <f t="array" ref="BO69">_xlfn.STDEV.P(IF($E$5:$E$30=$E68,BO$5:BO$30))</f>
        <v>#DIV/0!</v>
      </c>
      <c r="BP69" s="81" t="e">
        <f t="array" ref="BP69">_xlfn.STDEV.P(IF($E$5:$E$30=$E68,BP$5:BP$30))</f>
        <v>#DIV/0!</v>
      </c>
      <c r="BQ69" s="104" t="s">
        <v>11</v>
      </c>
      <c r="BR69" s="74" t="e">
        <f t="array" ref="BR69">_xlfn.STDEV.P(IF($E$5:$E$30=$E68,BR$5:BR$30))</f>
        <v>#DIV/0!</v>
      </c>
      <c r="BS69" s="74" t="e">
        <f t="array" ref="BS69">_xlfn.STDEV.P(IF($E$5:$E$30=$E68,BS$5:BS$30))</f>
        <v>#DIV/0!</v>
      </c>
      <c r="BT69" s="74" t="e">
        <f t="array" ref="BT69">_xlfn.STDEV.P(IF($E$5:$E$30=$E68,BT$5:BT$30))</f>
        <v>#DIV/0!</v>
      </c>
      <c r="BU69" s="74" t="e">
        <f t="array" ref="BU69">_xlfn.STDEV.P(IF($E$5:$E$30=$E68,BU$5:BU$30))</f>
        <v>#DIV/0!</v>
      </c>
      <c r="BV69" s="74" t="e">
        <f t="array" ref="BV69">_xlfn.STDEV.P(IF($E$5:$E$30=$E68,BV$5:BV$30))</f>
        <v>#DIV/0!</v>
      </c>
      <c r="BW69" s="74" t="e">
        <f t="array" ref="BW69">_xlfn.STDEV.P(IF($E$5:$E$30=$E68,BW$5:BW$30))</f>
        <v>#DIV/0!</v>
      </c>
      <c r="BX69" s="74" t="e">
        <f t="array" ref="BX69">_xlfn.STDEV.P(IF($E$5:$E$30=$E68,BX$5:BX$30))</f>
        <v>#DIV/0!</v>
      </c>
      <c r="BY69" s="74" t="e">
        <f t="array" ref="BY69">_xlfn.STDEV.P(IF($E$5:$E$30=$E68,BY$5:BY$30))</f>
        <v>#DIV/0!</v>
      </c>
      <c r="BZ69" s="74" t="e">
        <f t="array" ref="BZ69">_xlfn.STDEV.P(IF($E$5:$E$30=$E68,BZ$5:BZ$30))</f>
        <v>#DIV/0!</v>
      </c>
      <c r="CA69" s="74" t="e">
        <f t="array" ref="CA69">_xlfn.STDEV.P(IF($E$5:$E$30=$E68,CA$5:CA$30))</f>
        <v>#DIV/0!</v>
      </c>
      <c r="CB69" s="74" t="e">
        <f t="array" ref="CB69">_xlfn.STDEV.P(IF($E$5:$E$30=$E68,CB$5:CB$30))</f>
        <v>#DIV/0!</v>
      </c>
      <c r="CC69" s="74" t="e">
        <f t="array" ref="CC69">_xlfn.STDEV.P(IF($E$5:$E$30=$E68,CC$5:CC$30))</f>
        <v>#DIV/0!</v>
      </c>
      <c r="CD69" s="74" t="e">
        <f t="array" ref="CD69">_xlfn.STDEV.P(IF($E$5:$E$30=$E68,CD$5:CD$30))</f>
        <v>#DIV/0!</v>
      </c>
      <c r="CE69" s="74" t="e">
        <f t="array" ref="CE69">_xlfn.STDEV.P(IF($E$5:$E$30=$E68,CE$5:CE$30))</f>
        <v>#DIV/0!</v>
      </c>
      <c r="CF69" s="74" t="e">
        <f t="array" ref="CF69">_xlfn.STDEV.P(IF($E$5:$E$30=$E68,CF$5:CF$30))</f>
        <v>#DIV/0!</v>
      </c>
      <c r="CG69" s="74" t="e">
        <f t="array" ref="CG69">_xlfn.STDEV.P(IF($E$5:$E$30=$E68,CG$5:CG$30))</f>
        <v>#DIV/0!</v>
      </c>
      <c r="CH69" s="74" t="e">
        <f t="array" ref="CH69">_xlfn.STDEV.P(IF($E$5:$E$30=$E68,CH$5:CH$30))</f>
        <v>#DIV/0!</v>
      </c>
      <c r="CI69" s="74" t="e">
        <f t="array" ref="CI69">_xlfn.STDEV.P(IF($E$5:$E$30=$E68,CI$5:CI$30))</f>
        <v>#DIV/0!</v>
      </c>
      <c r="CJ69" s="74" t="e">
        <f t="array" ref="CJ69">_xlfn.STDEV.P(IF($E$5:$E$30=$E68,CJ$5:CJ$30))</f>
        <v>#DIV/0!</v>
      </c>
      <c r="CK69" s="74" t="e">
        <f t="array" ref="CK69">_xlfn.STDEV.P(IF($E$5:$E$30=$E68,CK$5:CK$30))</f>
        <v>#DIV/0!</v>
      </c>
      <c r="CL69" s="74" t="e">
        <f t="array" ref="CL69">_xlfn.STDEV.P(IF($E$5:$E$30=$E68,CL$5:CL$30))</f>
        <v>#DIV/0!</v>
      </c>
      <c r="CM69" s="74" t="e">
        <f t="array" ref="CM69">_xlfn.STDEV.P(IF($E$5:$E$30=$E68,CM$5:CM$30))</f>
        <v>#DIV/0!</v>
      </c>
      <c r="CN69" s="74" t="e">
        <f t="array" ref="CN69">_xlfn.STDEV.P(IF($E$5:$E$30=$E68,CN$5:CN$30))</f>
        <v>#DIV/0!</v>
      </c>
      <c r="CO69" s="74" t="e">
        <f t="array" ref="CO69">_xlfn.STDEV.P(IF($E$5:$E$30=$E68,CO$5:CO$30))</f>
        <v>#DIV/0!</v>
      </c>
      <c r="CP69" s="74" t="e">
        <f t="array" ref="CP69">_xlfn.STDEV.P(IF($E$5:$E$30=$E68,CP$5:CP$30))</f>
        <v>#DIV/0!</v>
      </c>
      <c r="CQ69" s="74" t="e">
        <f t="array" ref="CQ69">_xlfn.STDEV.P(IF($E$5:$E$30=$E68,CQ$5:CQ$30))</f>
        <v>#DIV/0!</v>
      </c>
      <c r="CR69" s="74" t="e">
        <f t="array" ref="CR69">_xlfn.STDEV.P(IF($E$5:$E$30=$E68,CR$5:CR$30))</f>
        <v>#DIV/0!</v>
      </c>
      <c r="CS69" s="74" t="e">
        <f t="array" ref="CS69">_xlfn.STDEV.P(IF($E$5:$E$30=$E68,CS$5:CS$30))</f>
        <v>#DIV/0!</v>
      </c>
      <c r="CT69" s="74" t="e">
        <f t="array" ref="CT69">_xlfn.STDEV.P(IF($E$5:$E$30=$E68,CT$5:CT$30))</f>
        <v>#DIV/0!</v>
      </c>
      <c r="CU69" s="74" t="e">
        <f t="array" ref="CU69">_xlfn.STDEV.P(IF($E$5:$E$30=$E68,CU$5:CU$30))</f>
        <v>#DIV/0!</v>
      </c>
      <c r="CV69" s="74" t="e">
        <f t="array" ref="CV69">_xlfn.STDEV.P(IF($E$5:$E$30=$E68,CV$5:CV$30))</f>
        <v>#DIV/0!</v>
      </c>
      <c r="CW69" s="74" t="e">
        <f t="array" ref="CW69">_xlfn.STDEV.P(IF($E$5:$E$30=$E68,CW$5:CW$30))</f>
        <v>#DIV/0!</v>
      </c>
      <c r="CX69" s="74" t="e">
        <f t="array" ref="CX69">_xlfn.STDEV.P(IF($E$5:$E$30=$E68,CX$5:CX$30))</f>
        <v>#DIV/0!</v>
      </c>
      <c r="CY69" s="74" t="e">
        <f t="array" ref="CY69">_xlfn.STDEV.P(IF($E$5:$E$30=$E68,CY$5:CY$30))</f>
        <v>#DIV/0!</v>
      </c>
      <c r="CZ69" s="74" t="e">
        <f t="array" ref="CZ69">_xlfn.STDEV.P(IF($E$5:$E$30=$E68,CZ$5:CZ$30))</f>
        <v>#DIV/0!</v>
      </c>
      <c r="DA69" s="74" t="e">
        <f t="array" ref="DA69">_xlfn.STDEV.P(IF($E$5:$E$30=$E68,DA$5:DA$30))</f>
        <v>#DIV/0!</v>
      </c>
      <c r="DB69" s="74" t="e">
        <f t="array" ref="DB69">_xlfn.STDEV.P(IF($E$5:$E$30=$E68,DB$5:DB$30))</f>
        <v>#DIV/0!</v>
      </c>
      <c r="DC69" s="74" t="e">
        <f t="array" ref="DC69">_xlfn.STDEV.P(IF($E$5:$E$30=$E68,DC$5:DC$30))</f>
        <v>#DIV/0!</v>
      </c>
      <c r="DD69" s="74" t="e">
        <f t="array" ref="DD69">_xlfn.STDEV.P(IF($E$5:$E$30=$E68,DD$5:DD$30))</f>
        <v>#DIV/0!</v>
      </c>
      <c r="DE69" s="74" t="e">
        <f t="array" ref="DE69">_xlfn.STDEV.P(IF($E$5:$E$30=$E68,DE$5:DE$30))</f>
        <v>#DIV/0!</v>
      </c>
      <c r="DF69" s="74" t="e">
        <f t="array" ref="DF69">_xlfn.STDEV.P(IF($E$5:$E$30=$E68,DF$5:DF$30))</f>
        <v>#DIV/0!</v>
      </c>
      <c r="DG69" s="74" t="e">
        <f t="array" ref="DG69">_xlfn.STDEV.P(IF($E$5:$E$30=$E68,DG$5:DG$30))</f>
        <v>#DIV/0!</v>
      </c>
      <c r="DH69" s="74" t="e">
        <f t="array" ref="DH69">_xlfn.STDEV.P(IF($E$5:$E$30=$E68,DH$5:DH$30))</f>
        <v>#DIV/0!</v>
      </c>
      <c r="DI69" s="74" t="e">
        <f t="array" ref="DI69">_xlfn.STDEV.P(IF($E$5:$E$30=$E68,DI$5:DI$30))</f>
        <v>#DIV/0!</v>
      </c>
      <c r="DJ69" s="74" t="e">
        <f t="array" ref="DJ69">_xlfn.STDEV.P(IF($E$5:$E$30=$E68,DJ$5:DJ$30))</f>
        <v>#DIV/0!</v>
      </c>
      <c r="DK69" s="74" t="e">
        <f t="array" ref="DK69">_xlfn.STDEV.P(IF($E$5:$E$30=$E68,DK$5:DK$30))</f>
        <v>#DIV/0!</v>
      </c>
    </row>
    <row r="70" spans="1:115" ht="15">
      <c r="A70" s="113"/>
      <c r="E70" s="118"/>
      <c r="I70" s="52"/>
      <c r="K70" s="57"/>
      <c r="L70" s="57"/>
      <c r="P70" s="57"/>
      <c r="Q70" s="57"/>
      <c r="R70" s="57"/>
      <c r="S70" s="243"/>
      <c r="T70" s="243"/>
      <c r="U70" s="57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DF70" s="44"/>
      <c r="DG70" s="44"/>
      <c r="DH70" s="44"/>
      <c r="DI70" s="44"/>
      <c r="DJ70" s="44"/>
      <c r="DK70" s="44"/>
    </row>
    <row r="71" spans="1:115" ht="14.25" customHeight="1">
      <c r="A71" s="113"/>
      <c r="E71" s="118" t="str">
        <f>'FIG6 Groups'!C16</f>
        <v>Group 11</v>
      </c>
      <c r="I71" s="118" t="str">
        <f>E71</f>
        <v>Group 11</v>
      </c>
      <c r="J71" s="107" t="e">
        <f>AVERAGEIF($E$5:$E$30,$E71,J$5:J$30)</f>
        <v>#DIV/0!</v>
      </c>
      <c r="K71" s="107"/>
      <c r="L71" s="107"/>
      <c r="M71" s="107" t="e">
        <f>AVERAGEIF($E$5:$E$30,$E71,M$5:M$30)</f>
        <v>#DIV/0!</v>
      </c>
      <c r="N71" s="107" t="e">
        <f>AVERAGEIF($E$5:$E$30,$E71,N$5:N$30)</f>
        <v>#DIV/0!</v>
      </c>
      <c r="O71" s="107" t="e">
        <f>AVERAGEIF($E$5:$E$30,$E71,O$5:O$30)</f>
        <v>#DIV/0!</v>
      </c>
      <c r="P71" s="107" t="e">
        <f>AVERAGEIF($E$5:$E$30,$E71,P$5:P$30)</f>
        <v>#DIV/0!</v>
      </c>
      <c r="Q71" s="107" t="e">
        <f>AVERAGEIF($E$5:$E$30,$E71,Q$5:Q$30)</f>
        <v>#DIV/0!</v>
      </c>
      <c r="R71" s="107" t="e">
        <f>AVERAGEIF($E$5:$E$30,$E71,R$5:R$30)</f>
        <v>#DIV/0!</v>
      </c>
      <c r="S71" s="244"/>
      <c r="T71" s="244" t="e">
        <f>AVERAGEIF($E$5:$E$30,$E71,T$5:T$30)</f>
        <v>#DIV/0!</v>
      </c>
      <c r="U71" s="107" t="e">
        <f>AVERAGEIF($E$5:$E$30,$E71,U$5:U$30)</f>
        <v>#DIV/0!</v>
      </c>
      <c r="V71" s="72" t="s">
        <v>9</v>
      </c>
      <c r="W71" s="78" t="e">
        <f>AVERAGEIF($E$5:$E$30,$E71,W$5:W$30)</f>
        <v>#DIV/0!</v>
      </c>
      <c r="X71" s="78" t="e">
        <f>AVERAGEIF($E$5:$E$30,$E71,X$5:X$30)</f>
        <v>#DIV/0!</v>
      </c>
      <c r="Y71" s="78" t="e">
        <f>AVERAGEIF($E$5:$E$30,$E71,Y$5:Y$30)</f>
        <v>#DIV/0!</v>
      </c>
      <c r="Z71" s="78" t="e">
        <f>AVERAGEIF($E$5:$E$30,$E71,Z$5:Z$30)</f>
        <v>#DIV/0!</v>
      </c>
      <c r="AA71" s="78" t="e">
        <f>AVERAGEIF($E$5:$E$30,$E71,AA$5:AA$30)</f>
        <v>#DIV/0!</v>
      </c>
      <c r="AB71" s="78" t="e">
        <f>AVERAGEIF($E$5:$E$30,$E71,AB$5:AB$30)</f>
        <v>#DIV/0!</v>
      </c>
      <c r="AC71" s="78" t="e">
        <f>AVERAGEIF($E$5:$E$30,$E71,AC$5:AC$30)</f>
        <v>#DIV/0!</v>
      </c>
      <c r="AD71" s="78" t="e">
        <f>AVERAGEIF($E$5:$E$30,$E71,AD$5:AD$30)</f>
        <v>#DIV/0!</v>
      </c>
      <c r="AE71" s="78" t="e">
        <f>AVERAGEIF($E$5:$E$30,$E71,AE$5:AE$30)</f>
        <v>#DIV/0!</v>
      </c>
      <c r="AF71" s="78" t="e">
        <f>AVERAGEIF($E$5:$E$30,$E71,AF$5:AF$30)</f>
        <v>#DIV/0!</v>
      </c>
      <c r="AG71" s="78" t="e">
        <f>AVERAGEIF($E$5:$E$30,$E71,AG$5:AG$30)</f>
        <v>#DIV/0!</v>
      </c>
      <c r="AH71" s="78" t="e">
        <f>AVERAGEIF($E$5:$E$30,$E71,AH$5:AH$30)</f>
        <v>#DIV/0!</v>
      </c>
      <c r="AI71" s="78" t="e">
        <f>AVERAGEIF($E$5:$E$30,$E71,AI$5:AI$30)</f>
        <v>#DIV/0!</v>
      </c>
      <c r="AJ71" s="78" t="e">
        <f>AVERAGEIF($E$5:$E$30,$E71,AJ$5:AJ$30)</f>
        <v>#DIV/0!</v>
      </c>
      <c r="AK71" s="78" t="e">
        <f>AVERAGEIF($E$5:$E$30,$E71,AK$5:AK$30)</f>
        <v>#DIV/0!</v>
      </c>
      <c r="AL71" s="78" t="e">
        <f>AVERAGEIF($E$5:$E$30,$E71,AL$5:AL$30)</f>
        <v>#DIV/0!</v>
      </c>
      <c r="AM71" s="78" t="e">
        <f>AVERAGEIF($E$5:$E$30,$E71,AM$5:AM$30)</f>
        <v>#DIV/0!</v>
      </c>
      <c r="AN71" s="78" t="e">
        <f>AVERAGEIF($E$5:$E$30,$E71,AN$5:AN$30)</f>
        <v>#DIV/0!</v>
      </c>
      <c r="AO71" s="78" t="e">
        <f>AVERAGEIF($E$5:$E$30,$E71,AO$5:AO$30)</f>
        <v>#DIV/0!</v>
      </c>
      <c r="AP71" s="78" t="e">
        <f>AVERAGEIF($E$5:$E$30,$E71,AP$5:AP$30)</f>
        <v>#DIV/0!</v>
      </c>
      <c r="AQ71" s="78" t="e">
        <f>AVERAGEIF($E$5:$E$30,$E71,AQ$5:AQ$30)</f>
        <v>#DIV/0!</v>
      </c>
      <c r="AR71" s="78" t="e">
        <f>AVERAGEIF($E$5:$E$30,$E71,AR$5:AR$30)</f>
        <v>#DIV/0!</v>
      </c>
      <c r="AS71" s="78" t="e">
        <f>AVERAGEIF($E$5:$E$30,$E71,AS$5:AS$30)</f>
        <v>#DIV/0!</v>
      </c>
      <c r="AT71" s="78" t="e">
        <f>AVERAGEIF($E$5:$E$30,$E71,AT$5:AT$30)</f>
        <v>#DIV/0!</v>
      </c>
      <c r="AU71" s="78" t="e">
        <f>AVERAGEIF($E$5:$E$30,$E71,AU$5:AU$30)</f>
        <v>#DIV/0!</v>
      </c>
      <c r="AV71" s="78" t="e">
        <f>AVERAGEIF($E$5:$E$30,$E71,AV$5:AV$30)</f>
        <v>#DIV/0!</v>
      </c>
      <c r="AW71" s="78" t="e">
        <f>AVERAGEIF($E$5:$E$30,$E71,AW$5:AW$30)</f>
        <v>#DIV/0!</v>
      </c>
      <c r="AX71" s="78" t="e">
        <f>AVERAGEIF($E$5:$E$30,$E71,AX$5:AX$30)</f>
        <v>#DIV/0!</v>
      </c>
      <c r="AY71" s="78" t="e">
        <f>AVERAGEIF($E$5:$E$30,$E71,AY$5:AY$30)</f>
        <v>#DIV/0!</v>
      </c>
      <c r="AZ71" s="78" t="e">
        <f>AVERAGEIF($E$5:$E$30,$E71,AZ$5:AZ$30)</f>
        <v>#DIV/0!</v>
      </c>
      <c r="BA71" s="78" t="e">
        <f>AVERAGEIF($E$5:$E$30,$E71,BA$5:BA$30)</f>
        <v>#DIV/0!</v>
      </c>
      <c r="BB71" s="78" t="e">
        <f>AVERAGEIF($E$5:$E$30,$E71,BB$5:BB$30)</f>
        <v>#DIV/0!</v>
      </c>
      <c r="BC71" s="78" t="e">
        <f>AVERAGEIF($E$5:$E$30,$E71,BC$5:BC$30)</f>
        <v>#DIV/0!</v>
      </c>
      <c r="BD71" s="78" t="e">
        <f>AVERAGEIF($E$5:$E$30,$E71,BD$5:BD$30)</f>
        <v>#DIV/0!</v>
      </c>
      <c r="BE71" s="78" t="e">
        <f>AVERAGEIF($E$5:$E$30,$E71,BE$5:BE$30)</f>
        <v>#DIV/0!</v>
      </c>
      <c r="BF71" s="78" t="e">
        <f>AVERAGEIF($E$5:$E$30,$E71,BF$5:BF$30)</f>
        <v>#DIV/0!</v>
      </c>
      <c r="BG71" s="78" t="e">
        <f>AVERAGEIF($E$5:$E$30,$E71,BG$5:BG$30)</f>
        <v>#DIV/0!</v>
      </c>
      <c r="BH71" s="78" t="e">
        <f>AVERAGEIF($E$5:$E$30,$E71,BH$5:BH$30)</f>
        <v>#DIV/0!</v>
      </c>
      <c r="BI71" s="78" t="e">
        <f>AVERAGEIF($E$5:$E$30,$E71,BI$5:BI$30)</f>
        <v>#DIV/0!</v>
      </c>
      <c r="BJ71" s="78" t="e">
        <f>AVERAGEIF($E$5:$E$30,$E71,BJ$5:BJ$30)</f>
        <v>#DIV/0!</v>
      </c>
      <c r="BK71" s="78" t="e">
        <f>AVERAGEIF($E$5:$E$30,$E71,BK$5:BK$30)</f>
        <v>#DIV/0!</v>
      </c>
      <c r="BL71" s="78" t="e">
        <f>AVERAGEIF($E$5:$E$30,$E71,BL$5:BL$30)</f>
        <v>#DIV/0!</v>
      </c>
      <c r="BM71" s="78" t="e">
        <f>AVERAGEIF($E$5:$E$30,$E71,BM$5:BM$30)</f>
        <v>#DIV/0!</v>
      </c>
      <c r="BN71" s="78" t="e">
        <f>AVERAGEIF($E$5:$E$30,$E71,BN$5:BN$30)</f>
        <v>#DIV/0!</v>
      </c>
      <c r="BO71" s="78" t="e">
        <f>AVERAGEIF($E$5:$E$30,$E71,BO$5:BO$30)</f>
        <v>#DIV/0!</v>
      </c>
      <c r="BP71" s="78" t="e">
        <f>AVERAGEIF($E$5:$E$30,$E71,BP$5:BP$30)</f>
        <v>#DIV/0!</v>
      </c>
      <c r="BQ71" s="103" t="s">
        <v>9</v>
      </c>
      <c r="BR71" s="73" t="e">
        <f>AVERAGEIF($E$5:$E$30,$E71,BR$5:BR$30)</f>
        <v>#DIV/0!</v>
      </c>
      <c r="BS71" s="73" t="e">
        <f>AVERAGEIF($E$5:$E$30,$E71,BS$5:BS$30)</f>
        <v>#DIV/0!</v>
      </c>
      <c r="BT71" s="73" t="e">
        <f>AVERAGEIF($E$5:$E$30,$E71,BT$5:BT$30)</f>
        <v>#DIV/0!</v>
      </c>
      <c r="BU71" s="73" t="e">
        <f>AVERAGEIF($E$5:$E$30,$E71,BU$5:BU$30)</f>
        <v>#DIV/0!</v>
      </c>
      <c r="BV71" s="73" t="e">
        <f>AVERAGEIF($E$5:$E$30,$E71,BV$5:BV$30)</f>
        <v>#DIV/0!</v>
      </c>
      <c r="BW71" s="73" t="e">
        <f>AVERAGEIF($E$5:$E$30,$E71,BW$5:BW$30)</f>
        <v>#DIV/0!</v>
      </c>
      <c r="BX71" s="73" t="e">
        <f>AVERAGEIF($E$5:$E$30,$E71,BX$5:BX$30)</f>
        <v>#DIV/0!</v>
      </c>
      <c r="BY71" s="73" t="e">
        <f>AVERAGEIF($E$5:$E$30,$E71,BY$5:BY$30)</f>
        <v>#DIV/0!</v>
      </c>
      <c r="BZ71" s="73" t="e">
        <f>AVERAGEIF($E$5:$E$30,$E71,BZ$5:BZ$30)</f>
        <v>#DIV/0!</v>
      </c>
      <c r="CA71" s="73" t="e">
        <f>AVERAGEIF($E$5:$E$30,$E71,CA$5:CA$30)</f>
        <v>#DIV/0!</v>
      </c>
      <c r="CB71" s="73" t="e">
        <f>AVERAGEIF($E$5:$E$30,$E71,CB$5:CB$30)</f>
        <v>#DIV/0!</v>
      </c>
      <c r="CC71" s="73" t="e">
        <f>AVERAGEIF($E$5:$E$30,$E71,CC$5:CC$30)</f>
        <v>#DIV/0!</v>
      </c>
      <c r="CD71" s="73" t="e">
        <f>AVERAGEIF($E$5:$E$30,$E71,CD$5:CD$30)</f>
        <v>#DIV/0!</v>
      </c>
      <c r="CE71" s="73" t="e">
        <f>AVERAGEIF($E$5:$E$30,$E71,CE$5:CE$30)</f>
        <v>#DIV/0!</v>
      </c>
      <c r="CF71" s="73" t="e">
        <f>AVERAGEIF($E$5:$E$30,$E71,CF$5:CF$30)</f>
        <v>#DIV/0!</v>
      </c>
      <c r="CG71" s="73" t="e">
        <f>AVERAGEIF($E$5:$E$30,$E71,CG$5:CG$30)</f>
        <v>#DIV/0!</v>
      </c>
      <c r="CH71" s="73" t="e">
        <f>AVERAGEIF($E$5:$E$30,$E71,CH$5:CH$30)</f>
        <v>#DIV/0!</v>
      </c>
      <c r="CI71" s="73" t="e">
        <f>AVERAGEIF($E$5:$E$30,$E71,CI$5:CI$30)</f>
        <v>#DIV/0!</v>
      </c>
      <c r="CJ71" s="73" t="e">
        <f>AVERAGEIF($E$5:$E$30,$E71,CJ$5:CJ$30)</f>
        <v>#DIV/0!</v>
      </c>
      <c r="CK71" s="73" t="e">
        <f>AVERAGEIF($E$5:$E$30,$E71,CK$5:CK$30)</f>
        <v>#DIV/0!</v>
      </c>
      <c r="CL71" s="73" t="e">
        <f>AVERAGEIF($E$5:$E$30,$E71,CL$5:CL$30)</f>
        <v>#DIV/0!</v>
      </c>
      <c r="CM71" s="73" t="e">
        <f>AVERAGEIF($E$5:$E$30,$E71,CM$5:CM$30)</f>
        <v>#DIV/0!</v>
      </c>
      <c r="CN71" s="73" t="e">
        <f>AVERAGEIF($E$5:$E$30,$E71,CN$5:CN$30)</f>
        <v>#DIV/0!</v>
      </c>
      <c r="CO71" s="73" t="e">
        <f>AVERAGEIF($E$5:$E$30,$E71,CO$5:CO$30)</f>
        <v>#DIV/0!</v>
      </c>
      <c r="CP71" s="73" t="e">
        <f>AVERAGEIF($E$5:$E$30,$E71,CP$5:CP$30)</f>
        <v>#DIV/0!</v>
      </c>
      <c r="CQ71" s="73" t="e">
        <f>AVERAGEIF($E$5:$E$30,$E71,CQ$5:CQ$30)</f>
        <v>#DIV/0!</v>
      </c>
      <c r="CR71" s="73" t="e">
        <f>AVERAGEIF($E$5:$E$30,$E71,CR$5:CR$30)</f>
        <v>#DIV/0!</v>
      </c>
      <c r="CS71" s="73" t="e">
        <f>AVERAGEIF($E$5:$E$30,$E71,CS$5:CS$30)</f>
        <v>#DIV/0!</v>
      </c>
      <c r="CT71" s="73" t="e">
        <f>AVERAGEIF($E$5:$E$30,$E71,CT$5:CT$30)</f>
        <v>#DIV/0!</v>
      </c>
      <c r="CU71" s="73" t="e">
        <f>AVERAGEIF($E$5:$E$30,$E71,CU$5:CU$30)</f>
        <v>#DIV/0!</v>
      </c>
      <c r="CV71" s="73" t="e">
        <f>AVERAGEIF($E$5:$E$30,$E71,CV$5:CV$30)</f>
        <v>#DIV/0!</v>
      </c>
      <c r="CW71" s="73" t="e">
        <f>AVERAGEIF($E$5:$E$30,$E71,CW$5:CW$30)</f>
        <v>#DIV/0!</v>
      </c>
      <c r="CX71" s="73" t="e">
        <f>AVERAGEIF($E$5:$E$30,$E71,CX$5:CX$30)</f>
        <v>#DIV/0!</v>
      </c>
      <c r="CY71" s="73" t="e">
        <f>AVERAGEIF($E$5:$E$30,$E71,CY$5:CY$30)</f>
        <v>#DIV/0!</v>
      </c>
      <c r="CZ71" s="73" t="e">
        <f>AVERAGEIF($E$5:$E$30,$E71,CZ$5:CZ$30)</f>
        <v>#DIV/0!</v>
      </c>
      <c r="DA71" s="73" t="e">
        <f>AVERAGEIF($E$5:$E$30,$E71,DA$5:DA$30)</f>
        <v>#DIV/0!</v>
      </c>
      <c r="DB71" s="73" t="e">
        <f>AVERAGEIF($E$5:$E$30,$E71,DB$5:DB$30)</f>
        <v>#DIV/0!</v>
      </c>
      <c r="DC71" s="73" t="e">
        <f>AVERAGEIF($E$5:$E$30,$E71,DC$5:DC$30)</f>
        <v>#DIV/0!</v>
      </c>
      <c r="DD71" s="73" t="e">
        <f>AVERAGEIF($E$5:$E$30,$E71,DD$5:DD$30)</f>
        <v>#DIV/0!</v>
      </c>
      <c r="DE71" s="73" t="e">
        <f>AVERAGEIF($E$5:$E$30,$E71,DE$5:DE$30)</f>
        <v>#DIV/0!</v>
      </c>
      <c r="DF71" s="73" t="e">
        <f>AVERAGEIF($E$5:$E$30,$E71,DF$5:DF$30)</f>
        <v>#DIV/0!</v>
      </c>
      <c r="DG71" s="73" t="e">
        <f>AVERAGEIF($E$5:$E$30,$E71,DG$5:DG$30)</f>
        <v>#DIV/0!</v>
      </c>
      <c r="DH71" s="73" t="e">
        <f>AVERAGEIF($E$5:$E$30,$E71,DH$5:DH$30)</f>
        <v>#DIV/0!</v>
      </c>
      <c r="DI71" s="73" t="e">
        <f>AVERAGEIF($E$5:$E$30,$E71,DI$5:DI$30)</f>
        <v>#DIV/0!</v>
      </c>
      <c r="DJ71" s="73" t="e">
        <f>AVERAGEIF($E$5:$E$30,$E71,DJ$5:DJ$30)</f>
        <v>#DIV/0!</v>
      </c>
      <c r="DK71" s="73" t="e">
        <f>AVERAGEIF($E$5:$E$30,$E71,DK$5:DK$30)</f>
        <v>#DIV/0!</v>
      </c>
    </row>
    <row r="72" spans="1:115" ht="14.25" customHeight="1">
      <c r="A72" s="113"/>
      <c r="E72" s="93"/>
      <c r="I72" s="93"/>
      <c r="J72" s="107" t="e">
        <f t="array" ref="J72">_xlfn.STDEV.P(IF($E$5:$E$30=$E71,J$5:J$30))</f>
        <v>#DIV/0!</v>
      </c>
      <c r="K72" s="107"/>
      <c r="L72" s="107"/>
      <c r="M72" s="107" t="e">
        <f t="array" ref="M72">_xlfn.STDEV.P(IF($E$5:$E$30=$E71,M$5:M$30))</f>
        <v>#DIV/0!</v>
      </c>
      <c r="N72" s="107" t="e">
        <f t="array" ref="N72">_xlfn.STDEV.P(IF($E$5:$E$30=$E71,N$5:N$30))</f>
        <v>#DIV/0!</v>
      </c>
      <c r="O72" s="107" t="e">
        <f t="array" ref="O72">_xlfn.STDEV.P(IF($E$5:$E$30=$E71,O$5:O$30))</f>
        <v>#DIV/0!</v>
      </c>
      <c r="P72" s="107" t="e">
        <f t="array" ref="P72">_xlfn.STDEV.P(IF($E$5:$E$30=$E71,P$5:P$30))</f>
        <v>#DIV/0!</v>
      </c>
      <c r="Q72" s="107" t="e">
        <f t="array" ref="Q72">_xlfn.STDEV.P(IF($E$5:$E$30=$E71,Q$5:Q$30))</f>
        <v>#DIV/0!</v>
      </c>
      <c r="R72" s="107" t="e">
        <f t="array" ref="R72">_xlfn.STDEV.P(IF($E$5:$E$30=$E71,R$5:R$30))</f>
        <v>#DIV/0!</v>
      </c>
      <c r="S72" s="244"/>
      <c r="T72" s="244" t="e">
        <f t="array" ref="T72">_xlfn.STDEV.P(IF($E$5:$E$30=$E71,T$5:T$30))</f>
        <v>#DIV/0!</v>
      </c>
      <c r="U72" s="107" t="e">
        <f t="array" ref="U72">_xlfn.STDEV.P(IF($E$5:$E$30=$E71,U$5:U$30))</f>
        <v>#DIV/0!</v>
      </c>
      <c r="V72" s="72" t="s">
        <v>11</v>
      </c>
      <c r="W72" s="81" t="e">
        <f t="array" ref="W72">_xlfn.STDEV.P(IF($E$5:$E$30=$E71,W$5:W$30))</f>
        <v>#DIV/0!</v>
      </c>
      <c r="X72" s="81" t="e">
        <f t="array" ref="X72">_xlfn.STDEV.P(IF($E$5:$E$30=$E71,X$5:X$30))</f>
        <v>#DIV/0!</v>
      </c>
      <c r="Y72" s="81" t="e">
        <f t="array" ref="Y72">_xlfn.STDEV.P(IF($E$5:$E$30=$E71,Y$5:Y$30))</f>
        <v>#DIV/0!</v>
      </c>
      <c r="Z72" s="81" t="e">
        <f t="array" ref="Z72">_xlfn.STDEV.P(IF($E$5:$E$30=$E71,Z$5:Z$30))</f>
        <v>#DIV/0!</v>
      </c>
      <c r="AA72" s="81" t="e">
        <f t="array" ref="AA72">_xlfn.STDEV.P(IF($E$5:$E$30=$E71,AA$5:AA$30))</f>
        <v>#DIV/0!</v>
      </c>
      <c r="AB72" s="81" t="e">
        <f t="array" ref="AB72">_xlfn.STDEV.P(IF($E$5:$E$30=$E71,AB$5:AB$30))</f>
        <v>#DIV/0!</v>
      </c>
      <c r="AC72" s="81" t="e">
        <f t="array" ref="AC72">_xlfn.STDEV.P(IF($E$5:$E$30=$E71,AC$5:AC$30))</f>
        <v>#DIV/0!</v>
      </c>
      <c r="AD72" s="81" t="e">
        <f t="array" ref="AD72">_xlfn.STDEV.P(IF($E$5:$E$30=$E71,AD$5:AD$30))</f>
        <v>#DIV/0!</v>
      </c>
      <c r="AE72" s="81" t="e">
        <f t="array" ref="AE72">_xlfn.STDEV.P(IF($E$5:$E$30=$E71,AE$5:AE$30))</f>
        <v>#DIV/0!</v>
      </c>
      <c r="AF72" s="81" t="e">
        <f t="array" ref="AF72">_xlfn.STDEV.P(IF($E$5:$E$30=$E71,AF$5:AF$30))</f>
        <v>#DIV/0!</v>
      </c>
      <c r="AG72" s="81" t="e">
        <f t="array" ref="AG72">_xlfn.STDEV.P(IF($E$5:$E$30=$E71,AG$5:AG$30))</f>
        <v>#DIV/0!</v>
      </c>
      <c r="AH72" s="81" t="e">
        <f t="array" ref="AH72">_xlfn.STDEV.P(IF($E$5:$E$30=$E71,AH$5:AH$30))</f>
        <v>#DIV/0!</v>
      </c>
      <c r="AI72" s="81" t="e">
        <f t="array" ref="AI72">_xlfn.STDEV.P(IF($E$5:$E$30=$E71,AI$5:AI$30))</f>
        <v>#DIV/0!</v>
      </c>
      <c r="AJ72" s="81" t="e">
        <f t="array" ref="AJ72">_xlfn.STDEV.P(IF($E$5:$E$30=$E71,AJ$5:AJ$30))</f>
        <v>#DIV/0!</v>
      </c>
      <c r="AK72" s="81" t="e">
        <f t="array" ref="AK72">_xlfn.STDEV.P(IF($E$5:$E$30=$E71,AK$5:AK$30))</f>
        <v>#DIV/0!</v>
      </c>
      <c r="AL72" s="81" t="e">
        <f t="array" ref="AL72">_xlfn.STDEV.P(IF($E$5:$E$30=$E71,AL$5:AL$30))</f>
        <v>#DIV/0!</v>
      </c>
      <c r="AM72" s="81" t="e">
        <f t="array" ref="AM72">_xlfn.STDEV.P(IF($E$5:$E$30=$E71,AM$5:AM$30))</f>
        <v>#DIV/0!</v>
      </c>
      <c r="AN72" s="81" t="e">
        <f t="array" ref="AN72">_xlfn.STDEV.P(IF($E$5:$E$30=$E71,AN$5:AN$30))</f>
        <v>#DIV/0!</v>
      </c>
      <c r="AO72" s="81" t="e">
        <f t="array" ref="AO72">_xlfn.STDEV.P(IF($E$5:$E$30=$E71,AO$5:AO$30))</f>
        <v>#DIV/0!</v>
      </c>
      <c r="AP72" s="81" t="e">
        <f t="array" ref="AP72">_xlfn.STDEV.P(IF($E$5:$E$30=$E71,AP$5:AP$30))</f>
        <v>#DIV/0!</v>
      </c>
      <c r="AQ72" s="81" t="e">
        <f t="array" ref="AQ72">_xlfn.STDEV.P(IF($E$5:$E$30=$E71,AQ$5:AQ$30))</f>
        <v>#DIV/0!</v>
      </c>
      <c r="AR72" s="81" t="e">
        <f t="array" ref="AR72">_xlfn.STDEV.P(IF($E$5:$E$30=$E71,AR$5:AR$30))</f>
        <v>#DIV/0!</v>
      </c>
      <c r="AS72" s="81" t="e">
        <f t="array" ref="AS72">_xlfn.STDEV.P(IF($E$5:$E$30=$E71,AS$5:AS$30))</f>
        <v>#DIV/0!</v>
      </c>
      <c r="AT72" s="81" t="e">
        <f t="array" ref="AT72">_xlfn.STDEV.P(IF($E$5:$E$30=$E71,AT$5:AT$30))</f>
        <v>#DIV/0!</v>
      </c>
      <c r="AU72" s="81" t="e">
        <f t="array" ref="AU72">_xlfn.STDEV.P(IF($E$5:$E$30=$E71,AU$5:AU$30))</f>
        <v>#DIV/0!</v>
      </c>
      <c r="AV72" s="81" t="e">
        <f t="array" ref="AV72">_xlfn.STDEV.P(IF($E$5:$E$30=$E71,AV$5:AV$30))</f>
        <v>#DIV/0!</v>
      </c>
      <c r="AW72" s="81" t="e">
        <f t="array" ref="AW72">_xlfn.STDEV.P(IF($E$5:$E$30=$E71,AW$5:AW$30))</f>
        <v>#DIV/0!</v>
      </c>
      <c r="AX72" s="81" t="e">
        <f t="array" ref="AX72">_xlfn.STDEV.P(IF($E$5:$E$30=$E71,AX$5:AX$30))</f>
        <v>#DIV/0!</v>
      </c>
      <c r="AY72" s="81" t="e">
        <f t="array" ref="AY72">_xlfn.STDEV.P(IF($E$5:$E$30=$E71,AY$5:AY$30))</f>
        <v>#DIV/0!</v>
      </c>
      <c r="AZ72" s="81" t="e">
        <f t="array" ref="AZ72">_xlfn.STDEV.P(IF($E$5:$E$30=$E71,AZ$5:AZ$30))</f>
        <v>#DIV/0!</v>
      </c>
      <c r="BA72" s="81" t="e">
        <f t="array" ref="BA72">_xlfn.STDEV.P(IF($E$5:$E$30=$E71,BA$5:BA$30))</f>
        <v>#DIV/0!</v>
      </c>
      <c r="BB72" s="81" t="e">
        <f t="array" ref="BB72">_xlfn.STDEV.P(IF($E$5:$E$30=$E71,BB$5:BB$30))</f>
        <v>#DIV/0!</v>
      </c>
      <c r="BC72" s="81" t="e">
        <f t="array" ref="BC72">_xlfn.STDEV.P(IF($E$5:$E$30=$E71,BC$5:BC$30))</f>
        <v>#DIV/0!</v>
      </c>
      <c r="BD72" s="81" t="e">
        <f t="array" ref="BD72">_xlfn.STDEV.P(IF($E$5:$E$30=$E71,BD$5:BD$30))</f>
        <v>#DIV/0!</v>
      </c>
      <c r="BE72" s="81" t="e">
        <f t="array" ref="BE72">_xlfn.STDEV.P(IF($E$5:$E$30=$E71,BE$5:BE$30))</f>
        <v>#DIV/0!</v>
      </c>
      <c r="BF72" s="81" t="e">
        <f t="array" ref="BF72">_xlfn.STDEV.P(IF($E$5:$E$30=$E71,BF$5:BF$30))</f>
        <v>#DIV/0!</v>
      </c>
      <c r="BG72" s="81" t="e">
        <f t="array" ref="BG72">_xlfn.STDEV.P(IF($E$5:$E$30=$E71,BG$5:BG$30))</f>
        <v>#DIV/0!</v>
      </c>
      <c r="BH72" s="81" t="e">
        <f t="array" ref="BH72">_xlfn.STDEV.P(IF($E$5:$E$30=$E71,BH$5:BH$30))</f>
        <v>#DIV/0!</v>
      </c>
      <c r="BI72" s="81" t="e">
        <f t="array" ref="BI72">_xlfn.STDEV.P(IF($E$5:$E$30=$E71,BI$5:BI$30))</f>
        <v>#DIV/0!</v>
      </c>
      <c r="BJ72" s="81" t="e">
        <f t="array" ref="BJ72">_xlfn.STDEV.P(IF($E$5:$E$30=$E71,BJ$5:BJ$30))</f>
        <v>#DIV/0!</v>
      </c>
      <c r="BK72" s="81" t="e">
        <f t="array" ref="BK72">_xlfn.STDEV.P(IF($E$5:$E$30=$E71,BK$5:BK$30))</f>
        <v>#DIV/0!</v>
      </c>
      <c r="BL72" s="81" t="e">
        <f t="array" ref="BL72">_xlfn.STDEV.P(IF($E$5:$E$30=$E71,BL$5:BL$30))</f>
        <v>#DIV/0!</v>
      </c>
      <c r="BM72" s="81" t="e">
        <f t="array" ref="BM72">_xlfn.STDEV.P(IF($E$5:$E$30=$E71,BM$5:BM$30))</f>
        <v>#DIV/0!</v>
      </c>
      <c r="BN72" s="81" t="e">
        <f t="array" ref="BN72">_xlfn.STDEV.P(IF($E$5:$E$30=$E71,BN$5:BN$30))</f>
        <v>#DIV/0!</v>
      </c>
      <c r="BO72" s="81" t="e">
        <f t="array" ref="BO72">_xlfn.STDEV.P(IF($E$5:$E$30=$E71,BO$5:BO$30))</f>
        <v>#DIV/0!</v>
      </c>
      <c r="BP72" s="81" t="e">
        <f t="array" ref="BP72">_xlfn.STDEV.P(IF($E$5:$E$30=$E71,BP$5:BP$30))</f>
        <v>#DIV/0!</v>
      </c>
      <c r="BQ72" s="104" t="s">
        <v>11</v>
      </c>
      <c r="BR72" s="74" t="e">
        <f t="array" ref="BR72">_xlfn.STDEV.P(IF($E$5:$E$30=$E71,BR$5:BR$30))</f>
        <v>#DIV/0!</v>
      </c>
      <c r="BS72" s="74" t="e">
        <f t="array" ref="BS72">_xlfn.STDEV.P(IF($E$5:$E$30=$E71,BS$5:BS$30))</f>
        <v>#DIV/0!</v>
      </c>
      <c r="BT72" s="74" t="e">
        <f t="array" ref="BT72">_xlfn.STDEV.P(IF($E$5:$E$30=$E71,BT$5:BT$30))</f>
        <v>#DIV/0!</v>
      </c>
      <c r="BU72" s="74" t="e">
        <f t="array" ref="BU72">_xlfn.STDEV.P(IF($E$5:$E$30=$E71,BU$5:BU$30))</f>
        <v>#DIV/0!</v>
      </c>
      <c r="BV72" s="74" t="e">
        <f t="array" ref="BV72">_xlfn.STDEV.P(IF($E$5:$E$30=$E71,BV$5:BV$30))</f>
        <v>#DIV/0!</v>
      </c>
      <c r="BW72" s="74" t="e">
        <f t="array" ref="BW72">_xlfn.STDEV.P(IF($E$5:$E$30=$E71,BW$5:BW$30))</f>
        <v>#DIV/0!</v>
      </c>
      <c r="BX72" s="74" t="e">
        <f t="array" ref="BX72">_xlfn.STDEV.P(IF($E$5:$E$30=$E71,BX$5:BX$30))</f>
        <v>#DIV/0!</v>
      </c>
      <c r="BY72" s="74" t="e">
        <f t="array" ref="BY72">_xlfn.STDEV.P(IF($E$5:$E$30=$E71,BY$5:BY$30))</f>
        <v>#DIV/0!</v>
      </c>
      <c r="BZ72" s="74" t="e">
        <f t="array" ref="BZ72">_xlfn.STDEV.P(IF($E$5:$E$30=$E71,BZ$5:BZ$30))</f>
        <v>#DIV/0!</v>
      </c>
      <c r="CA72" s="74" t="e">
        <f t="array" ref="CA72">_xlfn.STDEV.P(IF($E$5:$E$30=$E71,CA$5:CA$30))</f>
        <v>#DIV/0!</v>
      </c>
      <c r="CB72" s="74" t="e">
        <f t="array" ref="CB72">_xlfn.STDEV.P(IF($E$5:$E$30=$E71,CB$5:CB$30))</f>
        <v>#DIV/0!</v>
      </c>
      <c r="CC72" s="74" t="e">
        <f t="array" ref="CC72">_xlfn.STDEV.P(IF($E$5:$E$30=$E71,CC$5:CC$30))</f>
        <v>#DIV/0!</v>
      </c>
      <c r="CD72" s="74" t="e">
        <f t="array" ref="CD72">_xlfn.STDEV.P(IF($E$5:$E$30=$E71,CD$5:CD$30))</f>
        <v>#DIV/0!</v>
      </c>
      <c r="CE72" s="74" t="e">
        <f t="array" ref="CE72">_xlfn.STDEV.P(IF($E$5:$E$30=$E71,CE$5:CE$30))</f>
        <v>#DIV/0!</v>
      </c>
      <c r="CF72" s="74" t="e">
        <f t="array" ref="CF72">_xlfn.STDEV.P(IF($E$5:$E$30=$E71,CF$5:CF$30))</f>
        <v>#DIV/0!</v>
      </c>
      <c r="CG72" s="74" t="e">
        <f t="array" ref="CG72">_xlfn.STDEV.P(IF($E$5:$E$30=$E71,CG$5:CG$30))</f>
        <v>#DIV/0!</v>
      </c>
      <c r="CH72" s="74" t="e">
        <f t="array" ref="CH72">_xlfn.STDEV.P(IF($E$5:$E$30=$E71,CH$5:CH$30))</f>
        <v>#DIV/0!</v>
      </c>
      <c r="CI72" s="74" t="e">
        <f t="array" ref="CI72">_xlfn.STDEV.P(IF($E$5:$E$30=$E71,CI$5:CI$30))</f>
        <v>#DIV/0!</v>
      </c>
      <c r="CJ72" s="74" t="e">
        <f t="array" ref="CJ72">_xlfn.STDEV.P(IF($E$5:$E$30=$E71,CJ$5:CJ$30))</f>
        <v>#DIV/0!</v>
      </c>
      <c r="CK72" s="74" t="e">
        <f t="array" ref="CK72">_xlfn.STDEV.P(IF($E$5:$E$30=$E71,CK$5:CK$30))</f>
        <v>#DIV/0!</v>
      </c>
      <c r="CL72" s="74" t="e">
        <f t="array" ref="CL72">_xlfn.STDEV.P(IF($E$5:$E$30=$E71,CL$5:CL$30))</f>
        <v>#DIV/0!</v>
      </c>
      <c r="CM72" s="74" t="e">
        <f t="array" ref="CM72">_xlfn.STDEV.P(IF($E$5:$E$30=$E71,CM$5:CM$30))</f>
        <v>#DIV/0!</v>
      </c>
      <c r="CN72" s="74" t="e">
        <f t="array" ref="CN72">_xlfn.STDEV.P(IF($E$5:$E$30=$E71,CN$5:CN$30))</f>
        <v>#DIV/0!</v>
      </c>
      <c r="CO72" s="74" t="e">
        <f t="array" ref="CO72">_xlfn.STDEV.P(IF($E$5:$E$30=$E71,CO$5:CO$30))</f>
        <v>#DIV/0!</v>
      </c>
      <c r="CP72" s="74" t="e">
        <f t="array" ref="CP72">_xlfn.STDEV.P(IF($E$5:$E$30=$E71,CP$5:CP$30))</f>
        <v>#DIV/0!</v>
      </c>
      <c r="CQ72" s="74" t="e">
        <f t="array" ref="CQ72">_xlfn.STDEV.P(IF($E$5:$E$30=$E71,CQ$5:CQ$30))</f>
        <v>#DIV/0!</v>
      </c>
      <c r="CR72" s="74" t="e">
        <f t="array" ref="CR72">_xlfn.STDEV.P(IF($E$5:$E$30=$E71,CR$5:CR$30))</f>
        <v>#DIV/0!</v>
      </c>
      <c r="CS72" s="74" t="e">
        <f t="array" ref="CS72">_xlfn.STDEV.P(IF($E$5:$E$30=$E71,CS$5:CS$30))</f>
        <v>#DIV/0!</v>
      </c>
      <c r="CT72" s="74" t="e">
        <f t="array" ref="CT72">_xlfn.STDEV.P(IF($E$5:$E$30=$E71,CT$5:CT$30))</f>
        <v>#DIV/0!</v>
      </c>
      <c r="CU72" s="74" t="e">
        <f t="array" ref="CU72">_xlfn.STDEV.P(IF($E$5:$E$30=$E71,CU$5:CU$30))</f>
        <v>#DIV/0!</v>
      </c>
      <c r="CV72" s="74" t="e">
        <f t="array" ref="CV72">_xlfn.STDEV.P(IF($E$5:$E$30=$E71,CV$5:CV$30))</f>
        <v>#DIV/0!</v>
      </c>
      <c r="CW72" s="74" t="e">
        <f t="array" ref="CW72">_xlfn.STDEV.P(IF($E$5:$E$30=$E71,CW$5:CW$30))</f>
        <v>#DIV/0!</v>
      </c>
      <c r="CX72" s="74" t="e">
        <f t="array" ref="CX72">_xlfn.STDEV.P(IF($E$5:$E$30=$E71,CX$5:CX$30))</f>
        <v>#DIV/0!</v>
      </c>
      <c r="CY72" s="74" t="e">
        <f t="array" ref="CY72">_xlfn.STDEV.P(IF($E$5:$E$30=$E71,CY$5:CY$30))</f>
        <v>#DIV/0!</v>
      </c>
      <c r="CZ72" s="74" t="e">
        <f t="array" ref="CZ72">_xlfn.STDEV.P(IF($E$5:$E$30=$E71,CZ$5:CZ$30))</f>
        <v>#DIV/0!</v>
      </c>
      <c r="DA72" s="74" t="e">
        <f t="array" ref="DA72">_xlfn.STDEV.P(IF($E$5:$E$30=$E71,DA$5:DA$30))</f>
        <v>#DIV/0!</v>
      </c>
      <c r="DB72" s="74" t="e">
        <f t="array" ref="DB72">_xlfn.STDEV.P(IF($E$5:$E$30=$E71,DB$5:DB$30))</f>
        <v>#DIV/0!</v>
      </c>
      <c r="DC72" s="74" t="e">
        <f t="array" ref="DC72">_xlfn.STDEV.P(IF($E$5:$E$30=$E71,DC$5:DC$30))</f>
        <v>#DIV/0!</v>
      </c>
      <c r="DD72" s="74" t="e">
        <f t="array" ref="DD72">_xlfn.STDEV.P(IF($E$5:$E$30=$E71,DD$5:DD$30))</f>
        <v>#DIV/0!</v>
      </c>
      <c r="DE72" s="74" t="e">
        <f t="array" ref="DE72">_xlfn.STDEV.P(IF($E$5:$E$30=$E71,DE$5:DE$30))</f>
        <v>#DIV/0!</v>
      </c>
      <c r="DF72" s="74" t="e">
        <f t="array" ref="DF72">_xlfn.STDEV.P(IF($E$5:$E$30=$E71,DF$5:DF$30))</f>
        <v>#DIV/0!</v>
      </c>
      <c r="DG72" s="74" t="e">
        <f t="array" ref="DG72">_xlfn.STDEV.P(IF($E$5:$E$30=$E71,DG$5:DG$30))</f>
        <v>#DIV/0!</v>
      </c>
      <c r="DH72" s="74" t="e">
        <f t="array" ref="DH72">_xlfn.STDEV.P(IF($E$5:$E$30=$E71,DH$5:DH$30))</f>
        <v>#DIV/0!</v>
      </c>
      <c r="DI72" s="74" t="e">
        <f t="array" ref="DI72">_xlfn.STDEV.P(IF($E$5:$E$30=$E71,DI$5:DI$30))</f>
        <v>#DIV/0!</v>
      </c>
      <c r="DJ72" s="74" t="e">
        <f t="array" ref="DJ72">_xlfn.STDEV.P(IF($E$5:$E$30=$E71,DJ$5:DJ$30))</f>
        <v>#DIV/0!</v>
      </c>
      <c r="DK72" s="74" t="e">
        <f t="array" ref="DK72">_xlfn.STDEV.P(IF($E$5:$E$30=$E71,DK$5:DK$30))</f>
        <v>#DIV/0!</v>
      </c>
    </row>
    <row r="73" spans="1:115" ht="15">
      <c r="A73" s="113"/>
      <c r="E73" s="118"/>
      <c r="I73" s="52"/>
      <c r="K73" s="57"/>
      <c r="L73" s="57"/>
      <c r="P73" s="57"/>
      <c r="Q73" s="57"/>
      <c r="R73" s="57"/>
      <c r="S73" s="243"/>
      <c r="T73" s="243"/>
      <c r="U73" s="57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DF73" s="44"/>
      <c r="DG73" s="44"/>
      <c r="DH73" s="44"/>
      <c r="DI73" s="44"/>
      <c r="DJ73" s="44"/>
      <c r="DK73" s="44"/>
    </row>
    <row r="74" spans="1:115" ht="14.25" customHeight="1">
      <c r="A74" s="113"/>
      <c r="E74" s="118" t="str">
        <f>'FIG6 Groups'!C17</f>
        <v>Group 12</v>
      </c>
      <c r="I74" s="118" t="str">
        <f>E74</f>
        <v>Group 12</v>
      </c>
      <c r="J74" s="107" t="e">
        <f>AVERAGEIF($E$5:$E$30,$E74,J$5:J$30)</f>
        <v>#DIV/0!</v>
      </c>
      <c r="K74" s="107"/>
      <c r="L74" s="107"/>
      <c r="M74" s="107" t="e">
        <f>AVERAGEIF($E$5:$E$30,$E74,M$5:M$30)</f>
        <v>#DIV/0!</v>
      </c>
      <c r="N74" s="107" t="e">
        <f>AVERAGEIF($E$5:$E$30,$E74,N$5:N$30)</f>
        <v>#DIV/0!</v>
      </c>
      <c r="O74" s="107" t="e">
        <f>AVERAGEIF($E$5:$E$30,$E74,O$5:O$30)</f>
        <v>#DIV/0!</v>
      </c>
      <c r="P74" s="107" t="e">
        <f>AVERAGEIF($E$5:$E$30,$E74,P$5:P$30)</f>
        <v>#DIV/0!</v>
      </c>
      <c r="Q74" s="107" t="e">
        <f>AVERAGEIF($E$5:$E$30,$E74,Q$5:Q$30)</f>
        <v>#DIV/0!</v>
      </c>
      <c r="R74" s="107" t="e">
        <f>AVERAGEIF($E$5:$E$30,$E74,R$5:R$30)</f>
        <v>#DIV/0!</v>
      </c>
      <c r="S74" s="244"/>
      <c r="T74" s="244" t="e">
        <f>AVERAGEIF($E$5:$E$30,$E74,T$5:T$30)</f>
        <v>#DIV/0!</v>
      </c>
      <c r="U74" s="107" t="e">
        <f>AVERAGEIF($E$5:$E$30,$E74,U$5:U$30)</f>
        <v>#DIV/0!</v>
      </c>
      <c r="V74" s="72" t="s">
        <v>9</v>
      </c>
      <c r="W74" s="78" t="e">
        <f>AVERAGEIF($E$5:$E$30,$E74,W$5:W$30)</f>
        <v>#DIV/0!</v>
      </c>
      <c r="X74" s="78" t="e">
        <f>AVERAGEIF($E$5:$E$30,$E74,X$5:X$30)</f>
        <v>#DIV/0!</v>
      </c>
      <c r="Y74" s="78" t="e">
        <f>AVERAGEIF($E$5:$E$30,$E74,Y$5:Y$30)</f>
        <v>#DIV/0!</v>
      </c>
      <c r="Z74" s="78" t="e">
        <f>AVERAGEIF($E$5:$E$30,$E74,Z$5:Z$30)</f>
        <v>#DIV/0!</v>
      </c>
      <c r="AA74" s="78" t="e">
        <f>AVERAGEIF($E$5:$E$30,$E74,AA$5:AA$30)</f>
        <v>#DIV/0!</v>
      </c>
      <c r="AB74" s="78" t="e">
        <f>AVERAGEIF($E$5:$E$30,$E74,AB$5:AB$30)</f>
        <v>#DIV/0!</v>
      </c>
      <c r="AC74" s="78" t="e">
        <f>AVERAGEIF($E$5:$E$30,$E74,AC$5:AC$30)</f>
        <v>#DIV/0!</v>
      </c>
      <c r="AD74" s="78" t="e">
        <f>AVERAGEIF($E$5:$E$30,$E74,AD$5:AD$30)</f>
        <v>#DIV/0!</v>
      </c>
      <c r="AE74" s="78" t="e">
        <f>AVERAGEIF($E$5:$E$30,$E74,AE$5:AE$30)</f>
        <v>#DIV/0!</v>
      </c>
      <c r="AF74" s="78" t="e">
        <f>AVERAGEIF($E$5:$E$30,$E74,AF$5:AF$30)</f>
        <v>#DIV/0!</v>
      </c>
      <c r="AG74" s="78" t="e">
        <f>AVERAGEIF($E$5:$E$30,$E74,AG$5:AG$30)</f>
        <v>#DIV/0!</v>
      </c>
      <c r="AH74" s="78" t="e">
        <f>AVERAGEIF($E$5:$E$30,$E74,AH$5:AH$30)</f>
        <v>#DIV/0!</v>
      </c>
      <c r="AI74" s="78" t="e">
        <f>AVERAGEIF($E$5:$E$30,$E74,AI$5:AI$30)</f>
        <v>#DIV/0!</v>
      </c>
      <c r="AJ74" s="78" t="e">
        <f>AVERAGEIF($E$5:$E$30,$E74,AJ$5:AJ$30)</f>
        <v>#DIV/0!</v>
      </c>
      <c r="AK74" s="78" t="e">
        <f>AVERAGEIF($E$5:$E$30,$E74,AK$5:AK$30)</f>
        <v>#DIV/0!</v>
      </c>
      <c r="AL74" s="78" t="e">
        <f>AVERAGEIF($E$5:$E$30,$E74,AL$5:AL$30)</f>
        <v>#DIV/0!</v>
      </c>
      <c r="AM74" s="78" t="e">
        <f>AVERAGEIF($E$5:$E$30,$E74,AM$5:AM$30)</f>
        <v>#DIV/0!</v>
      </c>
      <c r="AN74" s="78" t="e">
        <f>AVERAGEIF($E$5:$E$30,$E74,AN$5:AN$30)</f>
        <v>#DIV/0!</v>
      </c>
      <c r="AO74" s="78" t="e">
        <f>AVERAGEIF($E$5:$E$30,$E74,AO$5:AO$30)</f>
        <v>#DIV/0!</v>
      </c>
      <c r="AP74" s="78" t="e">
        <f>AVERAGEIF($E$5:$E$30,$E74,AP$5:AP$30)</f>
        <v>#DIV/0!</v>
      </c>
      <c r="AQ74" s="78" t="e">
        <f>AVERAGEIF($E$5:$E$30,$E74,AQ$5:AQ$30)</f>
        <v>#DIV/0!</v>
      </c>
      <c r="AR74" s="78" t="e">
        <f>AVERAGEIF($E$5:$E$30,$E74,AR$5:AR$30)</f>
        <v>#DIV/0!</v>
      </c>
      <c r="AS74" s="78" t="e">
        <f>AVERAGEIF($E$5:$E$30,$E74,AS$5:AS$30)</f>
        <v>#DIV/0!</v>
      </c>
      <c r="AT74" s="78" t="e">
        <f>AVERAGEIF($E$5:$E$30,$E74,AT$5:AT$30)</f>
        <v>#DIV/0!</v>
      </c>
      <c r="AU74" s="78" t="e">
        <f>AVERAGEIF($E$5:$E$30,$E74,AU$5:AU$30)</f>
        <v>#DIV/0!</v>
      </c>
      <c r="AV74" s="78" t="e">
        <f>AVERAGEIF($E$5:$E$30,$E74,AV$5:AV$30)</f>
        <v>#DIV/0!</v>
      </c>
      <c r="AW74" s="78" t="e">
        <f>AVERAGEIF($E$5:$E$30,$E74,AW$5:AW$30)</f>
        <v>#DIV/0!</v>
      </c>
      <c r="AX74" s="78" t="e">
        <f>AVERAGEIF($E$5:$E$30,$E74,AX$5:AX$30)</f>
        <v>#DIV/0!</v>
      </c>
      <c r="AY74" s="78" t="e">
        <f>AVERAGEIF($E$5:$E$30,$E74,AY$5:AY$30)</f>
        <v>#DIV/0!</v>
      </c>
      <c r="AZ74" s="78" t="e">
        <f>AVERAGEIF($E$5:$E$30,$E74,AZ$5:AZ$30)</f>
        <v>#DIV/0!</v>
      </c>
      <c r="BA74" s="78" t="e">
        <f>AVERAGEIF($E$5:$E$30,$E74,BA$5:BA$30)</f>
        <v>#DIV/0!</v>
      </c>
      <c r="BB74" s="78" t="e">
        <f>AVERAGEIF($E$5:$E$30,$E74,BB$5:BB$30)</f>
        <v>#DIV/0!</v>
      </c>
      <c r="BC74" s="78" t="e">
        <f>AVERAGEIF($E$5:$E$30,$E74,BC$5:BC$30)</f>
        <v>#DIV/0!</v>
      </c>
      <c r="BD74" s="78" t="e">
        <f>AVERAGEIF($E$5:$E$30,$E74,BD$5:BD$30)</f>
        <v>#DIV/0!</v>
      </c>
      <c r="BE74" s="78" t="e">
        <f>AVERAGEIF($E$5:$E$30,$E74,BE$5:BE$30)</f>
        <v>#DIV/0!</v>
      </c>
      <c r="BF74" s="78" t="e">
        <f>AVERAGEIF($E$5:$E$30,$E74,BF$5:BF$30)</f>
        <v>#DIV/0!</v>
      </c>
      <c r="BG74" s="78" t="e">
        <f>AVERAGEIF($E$5:$E$30,$E74,BG$5:BG$30)</f>
        <v>#DIV/0!</v>
      </c>
      <c r="BH74" s="78" t="e">
        <f>AVERAGEIF($E$5:$E$30,$E74,BH$5:BH$30)</f>
        <v>#DIV/0!</v>
      </c>
      <c r="BI74" s="78" t="e">
        <f>AVERAGEIF($E$5:$E$30,$E74,BI$5:BI$30)</f>
        <v>#DIV/0!</v>
      </c>
      <c r="BJ74" s="78" t="e">
        <f>AVERAGEIF($E$5:$E$30,$E74,BJ$5:BJ$30)</f>
        <v>#DIV/0!</v>
      </c>
      <c r="BK74" s="78" t="e">
        <f>AVERAGEIF($E$5:$E$30,$E74,BK$5:BK$30)</f>
        <v>#DIV/0!</v>
      </c>
      <c r="BL74" s="78" t="e">
        <f>AVERAGEIF($E$5:$E$30,$E74,BL$5:BL$30)</f>
        <v>#DIV/0!</v>
      </c>
      <c r="BM74" s="78" t="e">
        <f>AVERAGEIF($E$5:$E$30,$E74,BM$5:BM$30)</f>
        <v>#DIV/0!</v>
      </c>
      <c r="BN74" s="78" t="e">
        <f>AVERAGEIF($E$5:$E$30,$E74,BN$5:BN$30)</f>
        <v>#DIV/0!</v>
      </c>
      <c r="BO74" s="78" t="e">
        <f>AVERAGEIF($E$5:$E$30,$E74,BO$5:BO$30)</f>
        <v>#DIV/0!</v>
      </c>
      <c r="BP74" s="78" t="e">
        <f>AVERAGEIF($E$5:$E$30,$E74,BP$5:BP$30)</f>
        <v>#DIV/0!</v>
      </c>
      <c r="BQ74" s="103" t="s">
        <v>9</v>
      </c>
      <c r="BR74" s="73" t="e">
        <f>AVERAGEIF($E$5:$E$30,$E74,BR$5:BR$30)</f>
        <v>#DIV/0!</v>
      </c>
      <c r="BS74" s="73" t="e">
        <f>AVERAGEIF($E$5:$E$30,$E74,BS$5:BS$30)</f>
        <v>#DIV/0!</v>
      </c>
      <c r="BT74" s="73" t="e">
        <f>AVERAGEIF($E$5:$E$30,$E74,BT$5:BT$30)</f>
        <v>#DIV/0!</v>
      </c>
      <c r="BU74" s="73" t="e">
        <f>AVERAGEIF($E$5:$E$30,$E74,BU$5:BU$30)</f>
        <v>#DIV/0!</v>
      </c>
      <c r="BV74" s="73" t="e">
        <f>AVERAGEIF($E$5:$E$30,$E74,BV$5:BV$30)</f>
        <v>#DIV/0!</v>
      </c>
      <c r="BW74" s="73" t="e">
        <f>AVERAGEIF($E$5:$E$30,$E74,BW$5:BW$30)</f>
        <v>#DIV/0!</v>
      </c>
      <c r="BX74" s="73" t="e">
        <f>AVERAGEIF($E$5:$E$30,$E74,BX$5:BX$30)</f>
        <v>#DIV/0!</v>
      </c>
      <c r="BY74" s="73" t="e">
        <f>AVERAGEIF($E$5:$E$30,$E74,BY$5:BY$30)</f>
        <v>#DIV/0!</v>
      </c>
      <c r="BZ74" s="73" t="e">
        <f>AVERAGEIF($E$5:$E$30,$E74,BZ$5:BZ$30)</f>
        <v>#DIV/0!</v>
      </c>
      <c r="CA74" s="73" t="e">
        <f>AVERAGEIF($E$5:$E$30,$E74,CA$5:CA$30)</f>
        <v>#DIV/0!</v>
      </c>
      <c r="CB74" s="73" t="e">
        <f>AVERAGEIF($E$5:$E$30,$E74,CB$5:CB$30)</f>
        <v>#DIV/0!</v>
      </c>
      <c r="CC74" s="73" t="e">
        <f>AVERAGEIF($E$5:$E$30,$E74,CC$5:CC$30)</f>
        <v>#DIV/0!</v>
      </c>
      <c r="CD74" s="73" t="e">
        <f>AVERAGEIF($E$5:$E$30,$E74,CD$5:CD$30)</f>
        <v>#DIV/0!</v>
      </c>
      <c r="CE74" s="73" t="e">
        <f>AVERAGEIF($E$5:$E$30,$E74,CE$5:CE$30)</f>
        <v>#DIV/0!</v>
      </c>
      <c r="CF74" s="73" t="e">
        <f>AVERAGEIF($E$5:$E$30,$E74,CF$5:CF$30)</f>
        <v>#DIV/0!</v>
      </c>
      <c r="CG74" s="73" t="e">
        <f>AVERAGEIF($E$5:$E$30,$E74,CG$5:CG$30)</f>
        <v>#DIV/0!</v>
      </c>
      <c r="CH74" s="73" t="e">
        <f>AVERAGEIF($E$5:$E$30,$E74,CH$5:CH$30)</f>
        <v>#DIV/0!</v>
      </c>
      <c r="CI74" s="73" t="e">
        <f>AVERAGEIF($E$5:$E$30,$E74,CI$5:CI$30)</f>
        <v>#DIV/0!</v>
      </c>
      <c r="CJ74" s="73" t="e">
        <f>AVERAGEIF($E$5:$E$30,$E74,CJ$5:CJ$30)</f>
        <v>#DIV/0!</v>
      </c>
      <c r="CK74" s="73" t="e">
        <f>AVERAGEIF($E$5:$E$30,$E74,CK$5:CK$30)</f>
        <v>#DIV/0!</v>
      </c>
      <c r="CL74" s="73" t="e">
        <f>AVERAGEIF($E$5:$E$30,$E74,CL$5:CL$30)</f>
        <v>#DIV/0!</v>
      </c>
      <c r="CM74" s="73" t="e">
        <f>AVERAGEIF($E$5:$E$30,$E74,CM$5:CM$30)</f>
        <v>#DIV/0!</v>
      </c>
      <c r="CN74" s="73" t="e">
        <f>AVERAGEIF($E$5:$E$30,$E74,CN$5:CN$30)</f>
        <v>#DIV/0!</v>
      </c>
      <c r="CO74" s="73" t="e">
        <f>AVERAGEIF($E$5:$E$30,$E74,CO$5:CO$30)</f>
        <v>#DIV/0!</v>
      </c>
      <c r="CP74" s="73" t="e">
        <f>AVERAGEIF($E$5:$E$30,$E74,CP$5:CP$30)</f>
        <v>#DIV/0!</v>
      </c>
      <c r="CQ74" s="73" t="e">
        <f>AVERAGEIF($E$5:$E$30,$E74,CQ$5:CQ$30)</f>
        <v>#DIV/0!</v>
      </c>
      <c r="CR74" s="73" t="e">
        <f>AVERAGEIF($E$5:$E$30,$E74,CR$5:CR$30)</f>
        <v>#DIV/0!</v>
      </c>
      <c r="CS74" s="73" t="e">
        <f>AVERAGEIF($E$5:$E$30,$E74,CS$5:CS$30)</f>
        <v>#DIV/0!</v>
      </c>
      <c r="CT74" s="73" t="e">
        <f>AVERAGEIF($E$5:$E$30,$E74,CT$5:CT$30)</f>
        <v>#DIV/0!</v>
      </c>
      <c r="CU74" s="73" t="e">
        <f>AVERAGEIF($E$5:$E$30,$E74,CU$5:CU$30)</f>
        <v>#DIV/0!</v>
      </c>
      <c r="CV74" s="73" t="e">
        <f>AVERAGEIF($E$5:$E$30,$E74,CV$5:CV$30)</f>
        <v>#DIV/0!</v>
      </c>
      <c r="CW74" s="73" t="e">
        <f>AVERAGEIF($E$5:$E$30,$E74,CW$5:CW$30)</f>
        <v>#DIV/0!</v>
      </c>
      <c r="CX74" s="73" t="e">
        <f>AVERAGEIF($E$5:$E$30,$E74,CX$5:CX$30)</f>
        <v>#DIV/0!</v>
      </c>
      <c r="CY74" s="73" t="e">
        <f>AVERAGEIF($E$5:$E$30,$E74,CY$5:CY$30)</f>
        <v>#DIV/0!</v>
      </c>
      <c r="CZ74" s="73" t="e">
        <f>AVERAGEIF($E$5:$E$30,$E74,CZ$5:CZ$30)</f>
        <v>#DIV/0!</v>
      </c>
      <c r="DA74" s="73" t="e">
        <f>AVERAGEIF($E$5:$E$30,$E74,DA$5:DA$30)</f>
        <v>#DIV/0!</v>
      </c>
      <c r="DB74" s="73" t="e">
        <f>AVERAGEIF($E$5:$E$30,$E74,DB$5:DB$30)</f>
        <v>#DIV/0!</v>
      </c>
      <c r="DC74" s="73" t="e">
        <f>AVERAGEIF($E$5:$E$30,$E74,DC$5:DC$30)</f>
        <v>#DIV/0!</v>
      </c>
      <c r="DD74" s="73" t="e">
        <f>AVERAGEIF($E$5:$E$30,$E74,DD$5:DD$30)</f>
        <v>#DIV/0!</v>
      </c>
      <c r="DE74" s="73" t="e">
        <f>AVERAGEIF($E$5:$E$30,$E74,DE$5:DE$30)</f>
        <v>#DIV/0!</v>
      </c>
      <c r="DF74" s="73" t="e">
        <f>AVERAGEIF($E$5:$E$30,$E74,DF$5:DF$30)</f>
        <v>#DIV/0!</v>
      </c>
      <c r="DG74" s="73" t="e">
        <f>AVERAGEIF($E$5:$E$30,$E74,DG$5:DG$30)</f>
        <v>#DIV/0!</v>
      </c>
      <c r="DH74" s="73" t="e">
        <f>AVERAGEIF($E$5:$E$30,$E74,DH$5:DH$30)</f>
        <v>#DIV/0!</v>
      </c>
      <c r="DI74" s="73" t="e">
        <f>AVERAGEIF($E$5:$E$30,$E74,DI$5:DI$30)</f>
        <v>#DIV/0!</v>
      </c>
      <c r="DJ74" s="73" t="e">
        <f>AVERAGEIF($E$5:$E$30,$E74,DJ$5:DJ$30)</f>
        <v>#DIV/0!</v>
      </c>
      <c r="DK74" s="73" t="e">
        <f>AVERAGEIF($E$5:$E$30,$E74,DK$5:DK$30)</f>
        <v>#DIV/0!</v>
      </c>
    </row>
    <row r="75" spans="1:115" ht="14.25" customHeight="1">
      <c r="A75" s="113"/>
      <c r="E75" s="93"/>
      <c r="I75" s="93"/>
      <c r="J75" s="107" t="e">
        <f t="array" ref="J75">_xlfn.STDEV.P(IF($E$5:$E$30=$E74,J$5:J$30))</f>
        <v>#DIV/0!</v>
      </c>
      <c r="K75" s="107"/>
      <c r="L75" s="107"/>
      <c r="M75" s="107" t="e">
        <f t="array" ref="M75">_xlfn.STDEV.P(IF($E$5:$E$30=$E74,M$5:M$30))</f>
        <v>#DIV/0!</v>
      </c>
      <c r="N75" s="107" t="e">
        <f t="array" ref="N75">_xlfn.STDEV.P(IF($E$5:$E$30=$E74,N$5:N$30))</f>
        <v>#DIV/0!</v>
      </c>
      <c r="O75" s="107" t="e">
        <f t="array" ref="O75">_xlfn.STDEV.P(IF($E$5:$E$30=$E74,O$5:O$30))</f>
        <v>#DIV/0!</v>
      </c>
      <c r="P75" s="107" t="e">
        <f t="array" ref="P75">_xlfn.STDEV.P(IF($E$5:$E$30=$E74,P$5:P$30))</f>
        <v>#DIV/0!</v>
      </c>
      <c r="Q75" s="107" t="e">
        <f t="array" ref="Q75">_xlfn.STDEV.P(IF($E$5:$E$30=$E74,Q$5:Q$30))</f>
        <v>#DIV/0!</v>
      </c>
      <c r="R75" s="107" t="e">
        <f t="array" ref="R75">_xlfn.STDEV.P(IF($E$5:$E$30=$E74,R$5:R$30))</f>
        <v>#DIV/0!</v>
      </c>
      <c r="S75" s="244"/>
      <c r="T75" s="244" t="e">
        <f t="array" ref="T75">_xlfn.STDEV.P(IF($E$5:$E$30=$E74,T$5:T$30))</f>
        <v>#DIV/0!</v>
      </c>
      <c r="U75" s="107" t="e">
        <f t="array" ref="U75">_xlfn.STDEV.P(IF($E$5:$E$30=$E74,U$5:U$30))</f>
        <v>#DIV/0!</v>
      </c>
      <c r="V75" s="72" t="s">
        <v>11</v>
      </c>
      <c r="W75" s="81" t="e">
        <f t="array" ref="W75">_xlfn.STDEV.P(IF($E$5:$E$30=$E74,W$5:W$30))</f>
        <v>#DIV/0!</v>
      </c>
      <c r="X75" s="81" t="e">
        <f t="array" ref="X75">_xlfn.STDEV.P(IF($E$5:$E$30=$E74,X$5:X$30))</f>
        <v>#DIV/0!</v>
      </c>
      <c r="Y75" s="81" t="e">
        <f t="array" ref="Y75">_xlfn.STDEV.P(IF($E$5:$E$30=$E74,Y$5:Y$30))</f>
        <v>#DIV/0!</v>
      </c>
      <c r="Z75" s="81" t="e">
        <f t="array" ref="Z75">_xlfn.STDEV.P(IF($E$5:$E$30=$E74,Z$5:Z$30))</f>
        <v>#DIV/0!</v>
      </c>
      <c r="AA75" s="81" t="e">
        <f t="array" ref="AA75">_xlfn.STDEV.P(IF($E$5:$E$30=$E74,AA$5:AA$30))</f>
        <v>#DIV/0!</v>
      </c>
      <c r="AB75" s="81" t="e">
        <f t="array" ref="AB75">_xlfn.STDEV.P(IF($E$5:$E$30=$E74,AB$5:AB$30))</f>
        <v>#DIV/0!</v>
      </c>
      <c r="AC75" s="81" t="e">
        <f t="array" ref="AC75">_xlfn.STDEV.P(IF($E$5:$E$30=$E74,AC$5:AC$30))</f>
        <v>#DIV/0!</v>
      </c>
      <c r="AD75" s="81" t="e">
        <f t="array" ref="AD75">_xlfn.STDEV.P(IF($E$5:$E$30=$E74,AD$5:AD$30))</f>
        <v>#DIV/0!</v>
      </c>
      <c r="AE75" s="81" t="e">
        <f t="array" ref="AE75">_xlfn.STDEV.P(IF($E$5:$E$30=$E74,AE$5:AE$30))</f>
        <v>#DIV/0!</v>
      </c>
      <c r="AF75" s="81" t="e">
        <f t="array" ref="AF75">_xlfn.STDEV.P(IF($E$5:$E$30=$E74,AF$5:AF$30))</f>
        <v>#DIV/0!</v>
      </c>
      <c r="AG75" s="81" t="e">
        <f t="array" ref="AG75">_xlfn.STDEV.P(IF($E$5:$E$30=$E74,AG$5:AG$30))</f>
        <v>#DIV/0!</v>
      </c>
      <c r="AH75" s="81" t="e">
        <f t="array" ref="AH75">_xlfn.STDEV.P(IF($E$5:$E$30=$E74,AH$5:AH$30))</f>
        <v>#DIV/0!</v>
      </c>
      <c r="AI75" s="81" t="e">
        <f t="array" ref="AI75">_xlfn.STDEV.P(IF($E$5:$E$30=$E74,AI$5:AI$30))</f>
        <v>#DIV/0!</v>
      </c>
      <c r="AJ75" s="81" t="e">
        <f t="array" ref="AJ75">_xlfn.STDEV.P(IF($E$5:$E$30=$E74,AJ$5:AJ$30))</f>
        <v>#DIV/0!</v>
      </c>
      <c r="AK75" s="81" t="e">
        <f t="array" ref="AK75">_xlfn.STDEV.P(IF($E$5:$E$30=$E74,AK$5:AK$30))</f>
        <v>#DIV/0!</v>
      </c>
      <c r="AL75" s="81" t="e">
        <f t="array" ref="AL75">_xlfn.STDEV.P(IF($E$5:$E$30=$E74,AL$5:AL$30))</f>
        <v>#DIV/0!</v>
      </c>
      <c r="AM75" s="81" t="e">
        <f t="array" ref="AM75">_xlfn.STDEV.P(IF($E$5:$E$30=$E74,AM$5:AM$30))</f>
        <v>#DIV/0!</v>
      </c>
      <c r="AN75" s="81" t="e">
        <f t="array" ref="AN75">_xlfn.STDEV.P(IF($E$5:$E$30=$E74,AN$5:AN$30))</f>
        <v>#DIV/0!</v>
      </c>
      <c r="AO75" s="81" t="e">
        <f t="array" ref="AO75">_xlfn.STDEV.P(IF($E$5:$E$30=$E74,AO$5:AO$30))</f>
        <v>#DIV/0!</v>
      </c>
      <c r="AP75" s="81" t="e">
        <f t="array" ref="AP75">_xlfn.STDEV.P(IF($E$5:$E$30=$E74,AP$5:AP$30))</f>
        <v>#DIV/0!</v>
      </c>
      <c r="AQ75" s="81" t="e">
        <f t="array" ref="AQ75">_xlfn.STDEV.P(IF($E$5:$E$30=$E74,AQ$5:AQ$30))</f>
        <v>#DIV/0!</v>
      </c>
      <c r="AR75" s="81" t="e">
        <f t="array" ref="AR75">_xlfn.STDEV.P(IF($E$5:$E$30=$E74,AR$5:AR$30))</f>
        <v>#DIV/0!</v>
      </c>
      <c r="AS75" s="81" t="e">
        <f t="array" ref="AS75">_xlfn.STDEV.P(IF($E$5:$E$30=$E74,AS$5:AS$30))</f>
        <v>#DIV/0!</v>
      </c>
      <c r="AT75" s="81" t="e">
        <f t="array" ref="AT75">_xlfn.STDEV.P(IF($E$5:$E$30=$E74,AT$5:AT$30))</f>
        <v>#DIV/0!</v>
      </c>
      <c r="AU75" s="81" t="e">
        <f t="array" ref="AU75">_xlfn.STDEV.P(IF($E$5:$E$30=$E74,AU$5:AU$30))</f>
        <v>#DIV/0!</v>
      </c>
      <c r="AV75" s="81" t="e">
        <f t="array" ref="AV75">_xlfn.STDEV.P(IF($E$5:$E$30=$E74,AV$5:AV$30))</f>
        <v>#DIV/0!</v>
      </c>
      <c r="AW75" s="81" t="e">
        <f t="array" ref="AW75">_xlfn.STDEV.P(IF($E$5:$E$30=$E74,AW$5:AW$30))</f>
        <v>#DIV/0!</v>
      </c>
      <c r="AX75" s="81" t="e">
        <f t="array" ref="AX75">_xlfn.STDEV.P(IF($E$5:$E$30=$E74,AX$5:AX$30))</f>
        <v>#DIV/0!</v>
      </c>
      <c r="AY75" s="81" t="e">
        <f t="array" ref="AY75">_xlfn.STDEV.P(IF($E$5:$E$30=$E74,AY$5:AY$30))</f>
        <v>#DIV/0!</v>
      </c>
      <c r="AZ75" s="81" t="e">
        <f t="array" ref="AZ75">_xlfn.STDEV.P(IF($E$5:$E$30=$E74,AZ$5:AZ$30))</f>
        <v>#DIV/0!</v>
      </c>
      <c r="BA75" s="81" t="e">
        <f t="array" ref="BA75">_xlfn.STDEV.P(IF($E$5:$E$30=$E74,BA$5:BA$30))</f>
        <v>#DIV/0!</v>
      </c>
      <c r="BB75" s="81" t="e">
        <f t="array" ref="BB75">_xlfn.STDEV.P(IF($E$5:$E$30=$E74,BB$5:BB$30))</f>
        <v>#DIV/0!</v>
      </c>
      <c r="BC75" s="81" t="e">
        <f t="array" ref="BC75">_xlfn.STDEV.P(IF($E$5:$E$30=$E74,BC$5:BC$30))</f>
        <v>#DIV/0!</v>
      </c>
      <c r="BD75" s="81" t="e">
        <f t="array" ref="BD75">_xlfn.STDEV.P(IF($E$5:$E$30=$E74,BD$5:BD$30))</f>
        <v>#DIV/0!</v>
      </c>
      <c r="BE75" s="81" t="e">
        <f t="array" ref="BE75">_xlfn.STDEV.P(IF($E$5:$E$30=$E74,BE$5:BE$30))</f>
        <v>#DIV/0!</v>
      </c>
      <c r="BF75" s="81" t="e">
        <f t="array" ref="BF75">_xlfn.STDEV.P(IF($E$5:$E$30=$E74,BF$5:BF$30))</f>
        <v>#DIV/0!</v>
      </c>
      <c r="BG75" s="81" t="e">
        <f t="array" ref="BG75">_xlfn.STDEV.P(IF($E$5:$E$30=$E74,BG$5:BG$30))</f>
        <v>#DIV/0!</v>
      </c>
      <c r="BH75" s="81" t="e">
        <f t="array" ref="BH75">_xlfn.STDEV.P(IF($E$5:$E$30=$E74,BH$5:BH$30))</f>
        <v>#DIV/0!</v>
      </c>
      <c r="BI75" s="81" t="e">
        <f t="array" ref="BI75">_xlfn.STDEV.P(IF($E$5:$E$30=$E74,BI$5:BI$30))</f>
        <v>#DIV/0!</v>
      </c>
      <c r="BJ75" s="81" t="e">
        <f t="array" ref="BJ75">_xlfn.STDEV.P(IF($E$5:$E$30=$E74,BJ$5:BJ$30))</f>
        <v>#DIV/0!</v>
      </c>
      <c r="BK75" s="81" t="e">
        <f t="array" ref="BK75">_xlfn.STDEV.P(IF($E$5:$E$30=$E74,BK$5:BK$30))</f>
        <v>#DIV/0!</v>
      </c>
      <c r="BL75" s="81" t="e">
        <f t="array" ref="BL75">_xlfn.STDEV.P(IF($E$5:$E$30=$E74,BL$5:BL$30))</f>
        <v>#DIV/0!</v>
      </c>
      <c r="BM75" s="81" t="e">
        <f t="array" ref="BM75">_xlfn.STDEV.P(IF($E$5:$E$30=$E74,BM$5:BM$30))</f>
        <v>#DIV/0!</v>
      </c>
      <c r="BN75" s="81" t="e">
        <f t="array" ref="BN75">_xlfn.STDEV.P(IF($E$5:$E$30=$E74,BN$5:BN$30))</f>
        <v>#DIV/0!</v>
      </c>
      <c r="BO75" s="81" t="e">
        <f t="array" ref="BO75">_xlfn.STDEV.P(IF($E$5:$E$30=$E74,BO$5:BO$30))</f>
        <v>#DIV/0!</v>
      </c>
      <c r="BP75" s="81" t="e">
        <f t="array" ref="BP75">_xlfn.STDEV.P(IF($E$5:$E$30=$E74,BP$5:BP$30))</f>
        <v>#DIV/0!</v>
      </c>
      <c r="BQ75" s="104" t="s">
        <v>11</v>
      </c>
      <c r="BR75" s="74" t="e">
        <f t="array" ref="BR75">_xlfn.STDEV.P(IF($E$5:$E$30=$E74,BR$5:BR$30))</f>
        <v>#DIV/0!</v>
      </c>
      <c r="BS75" s="74" t="e">
        <f t="array" ref="BS75">_xlfn.STDEV.P(IF($E$5:$E$30=$E74,BS$5:BS$30))</f>
        <v>#DIV/0!</v>
      </c>
      <c r="BT75" s="74" t="e">
        <f t="array" ref="BT75">_xlfn.STDEV.P(IF($E$5:$E$30=$E74,BT$5:BT$30))</f>
        <v>#DIV/0!</v>
      </c>
      <c r="BU75" s="74" t="e">
        <f t="array" ref="BU75">_xlfn.STDEV.P(IF($E$5:$E$30=$E74,BU$5:BU$30))</f>
        <v>#DIV/0!</v>
      </c>
      <c r="BV75" s="74" t="e">
        <f t="array" ref="BV75">_xlfn.STDEV.P(IF($E$5:$E$30=$E74,BV$5:BV$30))</f>
        <v>#DIV/0!</v>
      </c>
      <c r="BW75" s="74" t="e">
        <f t="array" ref="BW75">_xlfn.STDEV.P(IF($E$5:$E$30=$E74,BW$5:BW$30))</f>
        <v>#DIV/0!</v>
      </c>
      <c r="BX75" s="74" t="e">
        <f t="array" ref="BX75">_xlfn.STDEV.P(IF($E$5:$E$30=$E74,BX$5:BX$30))</f>
        <v>#DIV/0!</v>
      </c>
      <c r="BY75" s="74" t="e">
        <f t="array" ref="BY75">_xlfn.STDEV.P(IF($E$5:$E$30=$E74,BY$5:BY$30))</f>
        <v>#DIV/0!</v>
      </c>
      <c r="BZ75" s="74" t="e">
        <f t="array" ref="BZ75">_xlfn.STDEV.P(IF($E$5:$E$30=$E74,BZ$5:BZ$30))</f>
        <v>#DIV/0!</v>
      </c>
      <c r="CA75" s="74" t="e">
        <f t="array" ref="CA75">_xlfn.STDEV.P(IF($E$5:$E$30=$E74,CA$5:CA$30))</f>
        <v>#DIV/0!</v>
      </c>
      <c r="CB75" s="74" t="e">
        <f t="array" ref="CB75">_xlfn.STDEV.P(IF($E$5:$E$30=$E74,CB$5:CB$30))</f>
        <v>#DIV/0!</v>
      </c>
      <c r="CC75" s="74" t="e">
        <f t="array" ref="CC75">_xlfn.STDEV.P(IF($E$5:$E$30=$E74,CC$5:CC$30))</f>
        <v>#DIV/0!</v>
      </c>
      <c r="CD75" s="74" t="e">
        <f t="array" ref="CD75">_xlfn.STDEV.P(IF($E$5:$E$30=$E74,CD$5:CD$30))</f>
        <v>#DIV/0!</v>
      </c>
      <c r="CE75" s="74" t="e">
        <f t="array" ref="CE75">_xlfn.STDEV.P(IF($E$5:$E$30=$E74,CE$5:CE$30))</f>
        <v>#DIV/0!</v>
      </c>
      <c r="CF75" s="74" t="e">
        <f t="array" ref="CF75">_xlfn.STDEV.P(IF($E$5:$E$30=$E74,CF$5:CF$30))</f>
        <v>#DIV/0!</v>
      </c>
      <c r="CG75" s="74" t="e">
        <f t="array" ref="CG75">_xlfn.STDEV.P(IF($E$5:$E$30=$E74,CG$5:CG$30))</f>
        <v>#DIV/0!</v>
      </c>
      <c r="CH75" s="74" t="e">
        <f t="array" ref="CH75">_xlfn.STDEV.P(IF($E$5:$E$30=$E74,CH$5:CH$30))</f>
        <v>#DIV/0!</v>
      </c>
      <c r="CI75" s="74" t="e">
        <f t="array" ref="CI75">_xlfn.STDEV.P(IF($E$5:$E$30=$E74,CI$5:CI$30))</f>
        <v>#DIV/0!</v>
      </c>
      <c r="CJ75" s="74" t="e">
        <f t="array" ref="CJ75">_xlfn.STDEV.P(IF($E$5:$E$30=$E74,CJ$5:CJ$30))</f>
        <v>#DIV/0!</v>
      </c>
      <c r="CK75" s="74" t="e">
        <f t="array" ref="CK75">_xlfn.STDEV.P(IF($E$5:$E$30=$E74,CK$5:CK$30))</f>
        <v>#DIV/0!</v>
      </c>
      <c r="CL75" s="74" t="e">
        <f t="array" ref="CL75">_xlfn.STDEV.P(IF($E$5:$E$30=$E74,CL$5:CL$30))</f>
        <v>#DIV/0!</v>
      </c>
      <c r="CM75" s="74" t="e">
        <f t="array" ref="CM75">_xlfn.STDEV.P(IF($E$5:$E$30=$E74,CM$5:CM$30))</f>
        <v>#DIV/0!</v>
      </c>
      <c r="CN75" s="74" t="e">
        <f t="array" ref="CN75">_xlfn.STDEV.P(IF($E$5:$E$30=$E74,CN$5:CN$30))</f>
        <v>#DIV/0!</v>
      </c>
      <c r="CO75" s="74" t="e">
        <f t="array" ref="CO75">_xlfn.STDEV.P(IF($E$5:$E$30=$E74,CO$5:CO$30))</f>
        <v>#DIV/0!</v>
      </c>
      <c r="CP75" s="74" t="e">
        <f t="array" ref="CP75">_xlfn.STDEV.P(IF($E$5:$E$30=$E74,CP$5:CP$30))</f>
        <v>#DIV/0!</v>
      </c>
      <c r="CQ75" s="74" t="e">
        <f t="array" ref="CQ75">_xlfn.STDEV.P(IF($E$5:$E$30=$E74,CQ$5:CQ$30))</f>
        <v>#DIV/0!</v>
      </c>
      <c r="CR75" s="74" t="e">
        <f t="array" ref="CR75">_xlfn.STDEV.P(IF($E$5:$E$30=$E74,CR$5:CR$30))</f>
        <v>#DIV/0!</v>
      </c>
      <c r="CS75" s="74" t="e">
        <f t="array" ref="CS75">_xlfn.STDEV.P(IF($E$5:$E$30=$E74,CS$5:CS$30))</f>
        <v>#DIV/0!</v>
      </c>
      <c r="CT75" s="74" t="e">
        <f t="array" ref="CT75">_xlfn.STDEV.P(IF($E$5:$E$30=$E74,CT$5:CT$30))</f>
        <v>#DIV/0!</v>
      </c>
      <c r="CU75" s="74" t="e">
        <f t="array" ref="CU75">_xlfn.STDEV.P(IF($E$5:$E$30=$E74,CU$5:CU$30))</f>
        <v>#DIV/0!</v>
      </c>
      <c r="CV75" s="74" t="e">
        <f t="array" ref="CV75">_xlfn.STDEV.P(IF($E$5:$E$30=$E74,CV$5:CV$30))</f>
        <v>#DIV/0!</v>
      </c>
      <c r="CW75" s="74" t="e">
        <f t="array" ref="CW75">_xlfn.STDEV.P(IF($E$5:$E$30=$E74,CW$5:CW$30))</f>
        <v>#DIV/0!</v>
      </c>
      <c r="CX75" s="74" t="e">
        <f t="array" ref="CX75">_xlfn.STDEV.P(IF($E$5:$E$30=$E74,CX$5:CX$30))</f>
        <v>#DIV/0!</v>
      </c>
      <c r="CY75" s="74" t="e">
        <f t="array" ref="CY75">_xlfn.STDEV.P(IF($E$5:$E$30=$E74,CY$5:CY$30))</f>
        <v>#DIV/0!</v>
      </c>
      <c r="CZ75" s="74" t="e">
        <f t="array" ref="CZ75">_xlfn.STDEV.P(IF($E$5:$E$30=$E74,CZ$5:CZ$30))</f>
        <v>#DIV/0!</v>
      </c>
      <c r="DA75" s="74" t="e">
        <f t="array" ref="DA75">_xlfn.STDEV.P(IF($E$5:$E$30=$E74,DA$5:DA$30))</f>
        <v>#DIV/0!</v>
      </c>
      <c r="DB75" s="74" t="e">
        <f t="array" ref="DB75">_xlfn.STDEV.P(IF($E$5:$E$30=$E74,DB$5:DB$30))</f>
        <v>#DIV/0!</v>
      </c>
      <c r="DC75" s="74" t="e">
        <f t="array" ref="DC75">_xlfn.STDEV.P(IF($E$5:$E$30=$E74,DC$5:DC$30))</f>
        <v>#DIV/0!</v>
      </c>
      <c r="DD75" s="74" t="e">
        <f t="array" ref="DD75">_xlfn.STDEV.P(IF($E$5:$E$30=$E74,DD$5:DD$30))</f>
        <v>#DIV/0!</v>
      </c>
      <c r="DE75" s="74" t="e">
        <f t="array" ref="DE75">_xlfn.STDEV.P(IF($E$5:$E$30=$E74,DE$5:DE$30))</f>
        <v>#DIV/0!</v>
      </c>
      <c r="DF75" s="74" t="e">
        <f t="array" ref="DF75">_xlfn.STDEV.P(IF($E$5:$E$30=$E74,DF$5:DF$30))</f>
        <v>#DIV/0!</v>
      </c>
      <c r="DG75" s="74" t="e">
        <f t="array" ref="DG75">_xlfn.STDEV.P(IF($E$5:$E$30=$E74,DG$5:DG$30))</f>
        <v>#DIV/0!</v>
      </c>
      <c r="DH75" s="74" t="e">
        <f t="array" ref="DH75">_xlfn.STDEV.P(IF($E$5:$E$30=$E74,DH$5:DH$30))</f>
        <v>#DIV/0!</v>
      </c>
      <c r="DI75" s="74" t="e">
        <f t="array" ref="DI75">_xlfn.STDEV.P(IF($E$5:$E$30=$E74,DI$5:DI$30))</f>
        <v>#DIV/0!</v>
      </c>
      <c r="DJ75" s="74" t="e">
        <f t="array" ref="DJ75">_xlfn.STDEV.P(IF($E$5:$E$30=$E74,DJ$5:DJ$30))</f>
        <v>#DIV/0!</v>
      </c>
      <c r="DK75" s="74" t="e">
        <f t="array" ref="DK75">_xlfn.STDEV.P(IF($E$5:$E$30=$E74,DK$5:DK$30))</f>
        <v>#DIV/0!</v>
      </c>
    </row>
    <row r="76" spans="1:115" ht="15">
      <c r="A76" s="113"/>
      <c r="E76" s="118"/>
      <c r="I76" s="52"/>
      <c r="K76" s="57"/>
      <c r="L76" s="57"/>
      <c r="P76" s="57"/>
      <c r="Q76" s="57"/>
      <c r="R76" s="57"/>
      <c r="S76" s="243"/>
      <c r="T76" s="243"/>
      <c r="U76" s="57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DF76" s="44"/>
      <c r="DG76" s="44"/>
      <c r="DH76" s="44"/>
      <c r="DI76" s="44"/>
      <c r="DJ76" s="44"/>
      <c r="DK76" s="44"/>
    </row>
    <row r="77" spans="1:115" ht="14.25" customHeight="1">
      <c r="A77" s="113"/>
      <c r="E77" s="118" t="str">
        <f>'FIG6 Groups'!C18</f>
        <v>Group 13</v>
      </c>
      <c r="I77" s="118" t="str">
        <f>E77</f>
        <v>Group 13</v>
      </c>
      <c r="J77" s="107" t="e">
        <f>AVERAGEIF($E$5:$E$30,$E77,J$5:J$30)</f>
        <v>#DIV/0!</v>
      </c>
      <c r="K77" s="107"/>
      <c r="L77" s="107"/>
      <c r="M77" s="107" t="e">
        <f>AVERAGEIF($E$5:$E$30,$E77,M$5:M$30)</f>
        <v>#DIV/0!</v>
      </c>
      <c r="N77" s="107" t="e">
        <f>AVERAGEIF($E$5:$E$30,$E77,N$5:N$30)</f>
        <v>#DIV/0!</v>
      </c>
      <c r="O77" s="107" t="e">
        <f>AVERAGEIF($E$5:$E$30,$E77,O$5:O$30)</f>
        <v>#DIV/0!</v>
      </c>
      <c r="P77" s="107" t="e">
        <f>AVERAGEIF($E$5:$E$30,$E77,P$5:P$30)</f>
        <v>#DIV/0!</v>
      </c>
      <c r="Q77" s="107" t="e">
        <f>AVERAGEIF($E$5:$E$30,$E77,Q$5:Q$30)</f>
        <v>#DIV/0!</v>
      </c>
      <c r="R77" s="107" t="e">
        <f>AVERAGEIF($E$5:$E$30,$E77,R$5:R$30)</f>
        <v>#DIV/0!</v>
      </c>
      <c r="S77" s="244"/>
      <c r="T77" s="244" t="e">
        <f>AVERAGEIF($E$5:$E$30,$E77,T$5:T$30)</f>
        <v>#DIV/0!</v>
      </c>
      <c r="U77" s="107" t="e">
        <f>AVERAGEIF($E$5:$E$30,$E77,U$5:U$30)</f>
        <v>#DIV/0!</v>
      </c>
      <c r="V77" s="72" t="s">
        <v>9</v>
      </c>
      <c r="W77" s="78" t="e">
        <f>AVERAGEIF($E$5:$E$30,$E77,W$5:W$30)</f>
        <v>#DIV/0!</v>
      </c>
      <c r="X77" s="78" t="e">
        <f>AVERAGEIF($E$5:$E$30,$E77,X$5:X$30)</f>
        <v>#DIV/0!</v>
      </c>
      <c r="Y77" s="78" t="e">
        <f>AVERAGEIF($E$5:$E$30,$E77,Y$5:Y$30)</f>
        <v>#DIV/0!</v>
      </c>
      <c r="Z77" s="78" t="e">
        <f>AVERAGEIF($E$5:$E$30,$E77,Z$5:Z$30)</f>
        <v>#DIV/0!</v>
      </c>
      <c r="AA77" s="78" t="e">
        <f>AVERAGEIF($E$5:$E$30,$E77,AA$5:AA$30)</f>
        <v>#DIV/0!</v>
      </c>
      <c r="AB77" s="78" t="e">
        <f>AVERAGEIF($E$5:$E$30,$E77,AB$5:AB$30)</f>
        <v>#DIV/0!</v>
      </c>
      <c r="AC77" s="78" t="e">
        <f>AVERAGEIF($E$5:$E$30,$E77,AC$5:AC$30)</f>
        <v>#DIV/0!</v>
      </c>
      <c r="AD77" s="78" t="e">
        <f>AVERAGEIF($E$5:$E$30,$E77,AD$5:AD$30)</f>
        <v>#DIV/0!</v>
      </c>
      <c r="AE77" s="78" t="e">
        <f>AVERAGEIF($E$5:$E$30,$E77,AE$5:AE$30)</f>
        <v>#DIV/0!</v>
      </c>
      <c r="AF77" s="78" t="e">
        <f>AVERAGEIF($E$5:$E$30,$E77,AF$5:AF$30)</f>
        <v>#DIV/0!</v>
      </c>
      <c r="AG77" s="78" t="e">
        <f>AVERAGEIF($E$5:$E$30,$E77,AG$5:AG$30)</f>
        <v>#DIV/0!</v>
      </c>
      <c r="AH77" s="78" t="e">
        <f>AVERAGEIF($E$5:$E$30,$E77,AH$5:AH$30)</f>
        <v>#DIV/0!</v>
      </c>
      <c r="AI77" s="78" t="e">
        <f>AVERAGEIF($E$5:$E$30,$E77,AI$5:AI$30)</f>
        <v>#DIV/0!</v>
      </c>
      <c r="AJ77" s="78" t="e">
        <f>AVERAGEIF($E$5:$E$30,$E77,AJ$5:AJ$30)</f>
        <v>#DIV/0!</v>
      </c>
      <c r="AK77" s="78" t="e">
        <f>AVERAGEIF($E$5:$E$30,$E77,AK$5:AK$30)</f>
        <v>#DIV/0!</v>
      </c>
      <c r="AL77" s="78" t="e">
        <f>AVERAGEIF($E$5:$E$30,$E77,AL$5:AL$30)</f>
        <v>#DIV/0!</v>
      </c>
      <c r="AM77" s="78" t="e">
        <f>AVERAGEIF($E$5:$E$30,$E77,AM$5:AM$30)</f>
        <v>#DIV/0!</v>
      </c>
      <c r="AN77" s="78" t="e">
        <f>AVERAGEIF($E$5:$E$30,$E77,AN$5:AN$30)</f>
        <v>#DIV/0!</v>
      </c>
      <c r="AO77" s="78" t="e">
        <f>AVERAGEIF($E$5:$E$30,$E77,AO$5:AO$30)</f>
        <v>#DIV/0!</v>
      </c>
      <c r="AP77" s="78" t="e">
        <f>AVERAGEIF($E$5:$E$30,$E77,AP$5:AP$30)</f>
        <v>#DIV/0!</v>
      </c>
      <c r="AQ77" s="78" t="e">
        <f>AVERAGEIF($E$5:$E$30,$E77,AQ$5:AQ$30)</f>
        <v>#DIV/0!</v>
      </c>
      <c r="AR77" s="78" t="e">
        <f>AVERAGEIF($E$5:$E$30,$E77,AR$5:AR$30)</f>
        <v>#DIV/0!</v>
      </c>
      <c r="AS77" s="78" t="e">
        <f>AVERAGEIF($E$5:$E$30,$E77,AS$5:AS$30)</f>
        <v>#DIV/0!</v>
      </c>
      <c r="AT77" s="78" t="e">
        <f>AVERAGEIF($E$5:$E$30,$E77,AT$5:AT$30)</f>
        <v>#DIV/0!</v>
      </c>
      <c r="AU77" s="78" t="e">
        <f>AVERAGEIF($E$5:$E$30,$E77,AU$5:AU$30)</f>
        <v>#DIV/0!</v>
      </c>
      <c r="AV77" s="78" t="e">
        <f>AVERAGEIF($E$5:$E$30,$E77,AV$5:AV$30)</f>
        <v>#DIV/0!</v>
      </c>
      <c r="AW77" s="78" t="e">
        <f>AVERAGEIF($E$5:$E$30,$E77,AW$5:AW$30)</f>
        <v>#DIV/0!</v>
      </c>
      <c r="AX77" s="78" t="e">
        <f>AVERAGEIF($E$5:$E$30,$E77,AX$5:AX$30)</f>
        <v>#DIV/0!</v>
      </c>
      <c r="AY77" s="78" t="e">
        <f>AVERAGEIF($E$5:$E$30,$E77,AY$5:AY$30)</f>
        <v>#DIV/0!</v>
      </c>
      <c r="AZ77" s="78" t="e">
        <f>AVERAGEIF($E$5:$E$30,$E77,AZ$5:AZ$30)</f>
        <v>#DIV/0!</v>
      </c>
      <c r="BA77" s="78" t="e">
        <f>AVERAGEIF($E$5:$E$30,$E77,BA$5:BA$30)</f>
        <v>#DIV/0!</v>
      </c>
      <c r="BB77" s="78" t="e">
        <f>AVERAGEIF($E$5:$E$30,$E77,BB$5:BB$30)</f>
        <v>#DIV/0!</v>
      </c>
      <c r="BC77" s="78" t="e">
        <f>AVERAGEIF($E$5:$E$30,$E77,BC$5:BC$30)</f>
        <v>#DIV/0!</v>
      </c>
      <c r="BD77" s="78" t="e">
        <f>AVERAGEIF($E$5:$E$30,$E77,BD$5:BD$30)</f>
        <v>#DIV/0!</v>
      </c>
      <c r="BE77" s="78" t="e">
        <f>AVERAGEIF($E$5:$E$30,$E77,BE$5:BE$30)</f>
        <v>#DIV/0!</v>
      </c>
      <c r="BF77" s="78" t="e">
        <f>AVERAGEIF($E$5:$E$30,$E77,BF$5:BF$30)</f>
        <v>#DIV/0!</v>
      </c>
      <c r="BG77" s="78" t="e">
        <f>AVERAGEIF($E$5:$E$30,$E77,BG$5:BG$30)</f>
        <v>#DIV/0!</v>
      </c>
      <c r="BH77" s="78" t="e">
        <f>AVERAGEIF($E$5:$E$30,$E77,BH$5:BH$30)</f>
        <v>#DIV/0!</v>
      </c>
      <c r="BI77" s="78" t="e">
        <f>AVERAGEIF($E$5:$E$30,$E77,BI$5:BI$30)</f>
        <v>#DIV/0!</v>
      </c>
      <c r="BJ77" s="78" t="e">
        <f>AVERAGEIF($E$5:$E$30,$E77,BJ$5:BJ$30)</f>
        <v>#DIV/0!</v>
      </c>
      <c r="BK77" s="78" t="e">
        <f>AVERAGEIF($E$5:$E$30,$E77,BK$5:BK$30)</f>
        <v>#DIV/0!</v>
      </c>
      <c r="BL77" s="78" t="e">
        <f>AVERAGEIF($E$5:$E$30,$E77,BL$5:BL$30)</f>
        <v>#DIV/0!</v>
      </c>
      <c r="BM77" s="78" t="e">
        <f>AVERAGEIF($E$5:$E$30,$E77,BM$5:BM$30)</f>
        <v>#DIV/0!</v>
      </c>
      <c r="BN77" s="78" t="e">
        <f>AVERAGEIF($E$5:$E$30,$E77,BN$5:BN$30)</f>
        <v>#DIV/0!</v>
      </c>
      <c r="BO77" s="78" t="e">
        <f>AVERAGEIF($E$5:$E$30,$E77,BO$5:BO$30)</f>
        <v>#DIV/0!</v>
      </c>
      <c r="BP77" s="78" t="e">
        <f>AVERAGEIF($E$5:$E$30,$E77,BP$5:BP$30)</f>
        <v>#DIV/0!</v>
      </c>
      <c r="BQ77" s="103" t="s">
        <v>9</v>
      </c>
      <c r="BR77" s="73" t="e">
        <f>AVERAGEIF($E$5:$E$30,$E77,BR$5:BR$30)</f>
        <v>#DIV/0!</v>
      </c>
      <c r="BS77" s="73" t="e">
        <f>AVERAGEIF($E$5:$E$30,$E77,BS$5:BS$30)</f>
        <v>#DIV/0!</v>
      </c>
      <c r="BT77" s="73" t="e">
        <f>AVERAGEIF($E$5:$E$30,$E77,BT$5:BT$30)</f>
        <v>#DIV/0!</v>
      </c>
      <c r="BU77" s="73" t="e">
        <f>AVERAGEIF($E$5:$E$30,$E77,BU$5:BU$30)</f>
        <v>#DIV/0!</v>
      </c>
      <c r="BV77" s="73" t="e">
        <f>AVERAGEIF($E$5:$E$30,$E77,BV$5:BV$30)</f>
        <v>#DIV/0!</v>
      </c>
      <c r="BW77" s="73" t="e">
        <f>AVERAGEIF($E$5:$E$30,$E77,BW$5:BW$30)</f>
        <v>#DIV/0!</v>
      </c>
      <c r="BX77" s="73" t="e">
        <f>AVERAGEIF($E$5:$E$30,$E77,BX$5:BX$30)</f>
        <v>#DIV/0!</v>
      </c>
      <c r="BY77" s="73" t="e">
        <f>AVERAGEIF($E$5:$E$30,$E77,BY$5:BY$30)</f>
        <v>#DIV/0!</v>
      </c>
      <c r="BZ77" s="73" t="e">
        <f>AVERAGEIF($E$5:$E$30,$E77,BZ$5:BZ$30)</f>
        <v>#DIV/0!</v>
      </c>
      <c r="CA77" s="73" t="e">
        <f>AVERAGEIF($E$5:$E$30,$E77,CA$5:CA$30)</f>
        <v>#DIV/0!</v>
      </c>
      <c r="CB77" s="73" t="e">
        <f>AVERAGEIF($E$5:$E$30,$E77,CB$5:CB$30)</f>
        <v>#DIV/0!</v>
      </c>
      <c r="CC77" s="73" t="e">
        <f>AVERAGEIF($E$5:$E$30,$E77,CC$5:CC$30)</f>
        <v>#DIV/0!</v>
      </c>
      <c r="CD77" s="73" t="e">
        <f>AVERAGEIF($E$5:$E$30,$E77,CD$5:CD$30)</f>
        <v>#DIV/0!</v>
      </c>
      <c r="CE77" s="73" t="e">
        <f>AVERAGEIF($E$5:$E$30,$E77,CE$5:CE$30)</f>
        <v>#DIV/0!</v>
      </c>
      <c r="CF77" s="73" t="e">
        <f>AVERAGEIF($E$5:$E$30,$E77,CF$5:CF$30)</f>
        <v>#DIV/0!</v>
      </c>
      <c r="CG77" s="73" t="e">
        <f>AVERAGEIF($E$5:$E$30,$E77,CG$5:CG$30)</f>
        <v>#DIV/0!</v>
      </c>
      <c r="CH77" s="73" t="e">
        <f>AVERAGEIF($E$5:$E$30,$E77,CH$5:CH$30)</f>
        <v>#DIV/0!</v>
      </c>
      <c r="CI77" s="73" t="e">
        <f>AVERAGEIF($E$5:$E$30,$E77,CI$5:CI$30)</f>
        <v>#DIV/0!</v>
      </c>
      <c r="CJ77" s="73" t="e">
        <f>AVERAGEIF($E$5:$E$30,$E77,CJ$5:CJ$30)</f>
        <v>#DIV/0!</v>
      </c>
      <c r="CK77" s="73" t="e">
        <f>AVERAGEIF($E$5:$E$30,$E77,CK$5:CK$30)</f>
        <v>#DIV/0!</v>
      </c>
      <c r="CL77" s="73" t="e">
        <f>AVERAGEIF($E$5:$E$30,$E77,CL$5:CL$30)</f>
        <v>#DIV/0!</v>
      </c>
      <c r="CM77" s="73" t="e">
        <f>AVERAGEIF($E$5:$E$30,$E77,CM$5:CM$30)</f>
        <v>#DIV/0!</v>
      </c>
      <c r="CN77" s="73" t="e">
        <f>AVERAGEIF($E$5:$E$30,$E77,CN$5:CN$30)</f>
        <v>#DIV/0!</v>
      </c>
      <c r="CO77" s="73" t="e">
        <f>AVERAGEIF($E$5:$E$30,$E77,CO$5:CO$30)</f>
        <v>#DIV/0!</v>
      </c>
      <c r="CP77" s="73" t="e">
        <f>AVERAGEIF($E$5:$E$30,$E77,CP$5:CP$30)</f>
        <v>#DIV/0!</v>
      </c>
      <c r="CQ77" s="73" t="e">
        <f>AVERAGEIF($E$5:$E$30,$E77,CQ$5:CQ$30)</f>
        <v>#DIV/0!</v>
      </c>
      <c r="CR77" s="73" t="e">
        <f>AVERAGEIF($E$5:$E$30,$E77,CR$5:CR$30)</f>
        <v>#DIV/0!</v>
      </c>
      <c r="CS77" s="73" t="e">
        <f>AVERAGEIF($E$5:$E$30,$E77,CS$5:CS$30)</f>
        <v>#DIV/0!</v>
      </c>
      <c r="CT77" s="73" t="e">
        <f>AVERAGEIF($E$5:$E$30,$E77,CT$5:CT$30)</f>
        <v>#DIV/0!</v>
      </c>
      <c r="CU77" s="73" t="e">
        <f>AVERAGEIF($E$5:$E$30,$E77,CU$5:CU$30)</f>
        <v>#DIV/0!</v>
      </c>
      <c r="CV77" s="73" t="e">
        <f>AVERAGEIF($E$5:$E$30,$E77,CV$5:CV$30)</f>
        <v>#DIV/0!</v>
      </c>
      <c r="CW77" s="73" t="e">
        <f>AVERAGEIF($E$5:$E$30,$E77,CW$5:CW$30)</f>
        <v>#DIV/0!</v>
      </c>
      <c r="CX77" s="73" t="e">
        <f>AVERAGEIF($E$5:$E$30,$E77,CX$5:CX$30)</f>
        <v>#DIV/0!</v>
      </c>
      <c r="CY77" s="73" t="e">
        <f>AVERAGEIF($E$5:$E$30,$E77,CY$5:CY$30)</f>
        <v>#DIV/0!</v>
      </c>
      <c r="CZ77" s="73" t="e">
        <f>AVERAGEIF($E$5:$E$30,$E77,CZ$5:CZ$30)</f>
        <v>#DIV/0!</v>
      </c>
      <c r="DA77" s="73" t="e">
        <f>AVERAGEIF($E$5:$E$30,$E77,DA$5:DA$30)</f>
        <v>#DIV/0!</v>
      </c>
      <c r="DB77" s="73" t="e">
        <f>AVERAGEIF($E$5:$E$30,$E77,DB$5:DB$30)</f>
        <v>#DIV/0!</v>
      </c>
      <c r="DC77" s="73" t="e">
        <f>AVERAGEIF($E$5:$E$30,$E77,DC$5:DC$30)</f>
        <v>#DIV/0!</v>
      </c>
      <c r="DD77" s="73" t="e">
        <f>AVERAGEIF($E$5:$E$30,$E77,DD$5:DD$30)</f>
        <v>#DIV/0!</v>
      </c>
      <c r="DE77" s="73" t="e">
        <f>AVERAGEIF($E$5:$E$30,$E77,DE$5:DE$30)</f>
        <v>#DIV/0!</v>
      </c>
      <c r="DF77" s="73" t="e">
        <f>AVERAGEIF($E$5:$E$30,$E77,DF$5:DF$30)</f>
        <v>#DIV/0!</v>
      </c>
      <c r="DG77" s="73" t="e">
        <f>AVERAGEIF($E$5:$E$30,$E77,DG$5:DG$30)</f>
        <v>#DIV/0!</v>
      </c>
      <c r="DH77" s="73" t="e">
        <f>AVERAGEIF($E$5:$E$30,$E77,DH$5:DH$30)</f>
        <v>#DIV/0!</v>
      </c>
      <c r="DI77" s="73" t="e">
        <f>AVERAGEIF($E$5:$E$30,$E77,DI$5:DI$30)</f>
        <v>#DIV/0!</v>
      </c>
      <c r="DJ77" s="73" t="e">
        <f>AVERAGEIF($E$5:$E$30,$E77,DJ$5:DJ$30)</f>
        <v>#DIV/0!</v>
      </c>
      <c r="DK77" s="73" t="e">
        <f>AVERAGEIF($E$5:$E$30,$E77,DK$5:DK$30)</f>
        <v>#DIV/0!</v>
      </c>
    </row>
    <row r="78" spans="1:115" ht="14.25" customHeight="1">
      <c r="A78" s="113"/>
      <c r="E78" s="93"/>
      <c r="I78" s="93"/>
      <c r="J78" s="107" t="e">
        <f t="array" ref="J78">_xlfn.STDEV.P(IF($E$5:$E$30=$E77,J$5:J$30))</f>
        <v>#DIV/0!</v>
      </c>
      <c r="K78" s="107"/>
      <c r="L78" s="107"/>
      <c r="M78" s="107" t="e">
        <f t="array" ref="M78">_xlfn.STDEV.P(IF($E$5:$E$30=$E77,M$5:M$30))</f>
        <v>#DIV/0!</v>
      </c>
      <c r="N78" s="107" t="e">
        <f t="array" ref="N78">_xlfn.STDEV.P(IF($E$5:$E$30=$E77,N$5:N$30))</f>
        <v>#DIV/0!</v>
      </c>
      <c r="O78" s="107" t="e">
        <f t="array" ref="O78">_xlfn.STDEV.P(IF($E$5:$E$30=$E77,O$5:O$30))</f>
        <v>#DIV/0!</v>
      </c>
      <c r="P78" s="107" t="e">
        <f t="array" ref="P78">_xlfn.STDEV.P(IF($E$5:$E$30=$E77,P$5:P$30))</f>
        <v>#DIV/0!</v>
      </c>
      <c r="Q78" s="107" t="e">
        <f t="array" ref="Q78">_xlfn.STDEV.P(IF($E$5:$E$30=$E77,Q$5:Q$30))</f>
        <v>#DIV/0!</v>
      </c>
      <c r="R78" s="107" t="e">
        <f t="array" ref="R78">_xlfn.STDEV.P(IF($E$5:$E$30=$E77,R$5:R$30))</f>
        <v>#DIV/0!</v>
      </c>
      <c r="S78" s="244"/>
      <c r="T78" s="244" t="e">
        <f t="array" ref="T78">_xlfn.STDEV.P(IF($E$5:$E$30=$E77,T$5:T$30))</f>
        <v>#DIV/0!</v>
      </c>
      <c r="U78" s="107" t="e">
        <f t="array" ref="U78">_xlfn.STDEV.P(IF($E$5:$E$30=$E77,U$5:U$30))</f>
        <v>#DIV/0!</v>
      </c>
      <c r="V78" s="72" t="s">
        <v>11</v>
      </c>
      <c r="W78" s="81" t="e">
        <f t="array" ref="W78">_xlfn.STDEV.P(IF($E$5:$E$30=$E77,W$5:W$30))</f>
        <v>#DIV/0!</v>
      </c>
      <c r="X78" s="81" t="e">
        <f t="array" ref="X78">_xlfn.STDEV.P(IF($E$5:$E$30=$E77,X$5:X$30))</f>
        <v>#DIV/0!</v>
      </c>
      <c r="Y78" s="81" t="e">
        <f t="array" ref="Y78">_xlfn.STDEV.P(IF($E$5:$E$30=$E77,Y$5:Y$30))</f>
        <v>#DIV/0!</v>
      </c>
      <c r="Z78" s="81" t="e">
        <f t="array" ref="Z78">_xlfn.STDEV.P(IF($E$5:$E$30=$E77,Z$5:Z$30))</f>
        <v>#DIV/0!</v>
      </c>
      <c r="AA78" s="81" t="e">
        <f t="array" ref="AA78">_xlfn.STDEV.P(IF($E$5:$E$30=$E77,AA$5:AA$30))</f>
        <v>#DIV/0!</v>
      </c>
      <c r="AB78" s="81" t="e">
        <f t="array" ref="AB78">_xlfn.STDEV.P(IF($E$5:$E$30=$E77,AB$5:AB$30))</f>
        <v>#DIV/0!</v>
      </c>
      <c r="AC78" s="81" t="e">
        <f t="array" ref="AC78">_xlfn.STDEV.P(IF($E$5:$E$30=$E77,AC$5:AC$30))</f>
        <v>#DIV/0!</v>
      </c>
      <c r="AD78" s="81" t="e">
        <f t="array" ref="AD78">_xlfn.STDEV.P(IF($E$5:$E$30=$E77,AD$5:AD$30))</f>
        <v>#DIV/0!</v>
      </c>
      <c r="AE78" s="81" t="e">
        <f t="array" ref="AE78">_xlfn.STDEV.P(IF($E$5:$E$30=$E77,AE$5:AE$30))</f>
        <v>#DIV/0!</v>
      </c>
      <c r="AF78" s="81" t="e">
        <f t="array" ref="AF78">_xlfn.STDEV.P(IF($E$5:$E$30=$E77,AF$5:AF$30))</f>
        <v>#DIV/0!</v>
      </c>
      <c r="AG78" s="81" t="e">
        <f t="array" ref="AG78">_xlfn.STDEV.P(IF($E$5:$E$30=$E77,AG$5:AG$30))</f>
        <v>#DIV/0!</v>
      </c>
      <c r="AH78" s="81" t="e">
        <f t="array" ref="AH78">_xlfn.STDEV.P(IF($E$5:$E$30=$E77,AH$5:AH$30))</f>
        <v>#DIV/0!</v>
      </c>
      <c r="AI78" s="81" t="e">
        <f t="array" ref="AI78">_xlfn.STDEV.P(IF($E$5:$E$30=$E77,AI$5:AI$30))</f>
        <v>#DIV/0!</v>
      </c>
      <c r="AJ78" s="81" t="e">
        <f t="array" ref="AJ78">_xlfn.STDEV.P(IF($E$5:$E$30=$E77,AJ$5:AJ$30))</f>
        <v>#DIV/0!</v>
      </c>
      <c r="AK78" s="81" t="e">
        <f t="array" ref="AK78">_xlfn.STDEV.P(IF($E$5:$E$30=$E77,AK$5:AK$30))</f>
        <v>#DIV/0!</v>
      </c>
      <c r="AL78" s="81" t="e">
        <f t="array" ref="AL78">_xlfn.STDEV.P(IF($E$5:$E$30=$E77,AL$5:AL$30))</f>
        <v>#DIV/0!</v>
      </c>
      <c r="AM78" s="81" t="e">
        <f t="array" ref="AM78">_xlfn.STDEV.P(IF($E$5:$E$30=$E77,AM$5:AM$30))</f>
        <v>#DIV/0!</v>
      </c>
      <c r="AN78" s="81" t="e">
        <f t="array" ref="AN78">_xlfn.STDEV.P(IF($E$5:$E$30=$E77,AN$5:AN$30))</f>
        <v>#DIV/0!</v>
      </c>
      <c r="AO78" s="81" t="e">
        <f t="array" ref="AO78">_xlfn.STDEV.P(IF($E$5:$E$30=$E77,AO$5:AO$30))</f>
        <v>#DIV/0!</v>
      </c>
      <c r="AP78" s="81" t="e">
        <f t="array" ref="AP78">_xlfn.STDEV.P(IF($E$5:$E$30=$E77,AP$5:AP$30))</f>
        <v>#DIV/0!</v>
      </c>
      <c r="AQ78" s="81" t="e">
        <f t="array" ref="AQ78">_xlfn.STDEV.P(IF($E$5:$E$30=$E77,AQ$5:AQ$30))</f>
        <v>#DIV/0!</v>
      </c>
      <c r="AR78" s="81" t="e">
        <f t="array" ref="AR78">_xlfn.STDEV.P(IF($E$5:$E$30=$E77,AR$5:AR$30))</f>
        <v>#DIV/0!</v>
      </c>
      <c r="AS78" s="81" t="e">
        <f t="array" ref="AS78">_xlfn.STDEV.P(IF($E$5:$E$30=$E77,AS$5:AS$30))</f>
        <v>#DIV/0!</v>
      </c>
      <c r="AT78" s="81" t="e">
        <f t="array" ref="AT78">_xlfn.STDEV.P(IF($E$5:$E$30=$E77,AT$5:AT$30))</f>
        <v>#DIV/0!</v>
      </c>
      <c r="AU78" s="81" t="e">
        <f t="array" ref="AU78">_xlfn.STDEV.P(IF($E$5:$E$30=$E77,AU$5:AU$30))</f>
        <v>#DIV/0!</v>
      </c>
      <c r="AV78" s="81" t="e">
        <f t="array" ref="AV78">_xlfn.STDEV.P(IF($E$5:$E$30=$E77,AV$5:AV$30))</f>
        <v>#DIV/0!</v>
      </c>
      <c r="AW78" s="81" t="e">
        <f t="array" ref="AW78">_xlfn.STDEV.P(IF($E$5:$E$30=$E77,AW$5:AW$30))</f>
        <v>#DIV/0!</v>
      </c>
      <c r="AX78" s="81" t="e">
        <f t="array" ref="AX78">_xlfn.STDEV.P(IF($E$5:$E$30=$E77,AX$5:AX$30))</f>
        <v>#DIV/0!</v>
      </c>
      <c r="AY78" s="81" t="e">
        <f t="array" ref="AY78">_xlfn.STDEV.P(IF($E$5:$E$30=$E77,AY$5:AY$30))</f>
        <v>#DIV/0!</v>
      </c>
      <c r="AZ78" s="81" t="e">
        <f t="array" ref="AZ78">_xlfn.STDEV.P(IF($E$5:$E$30=$E77,AZ$5:AZ$30))</f>
        <v>#DIV/0!</v>
      </c>
      <c r="BA78" s="81" t="e">
        <f t="array" ref="BA78">_xlfn.STDEV.P(IF($E$5:$E$30=$E77,BA$5:BA$30))</f>
        <v>#DIV/0!</v>
      </c>
      <c r="BB78" s="81" t="e">
        <f t="array" ref="BB78">_xlfn.STDEV.P(IF($E$5:$E$30=$E77,BB$5:BB$30))</f>
        <v>#DIV/0!</v>
      </c>
      <c r="BC78" s="81" t="e">
        <f t="array" ref="BC78">_xlfn.STDEV.P(IF($E$5:$E$30=$E77,BC$5:BC$30))</f>
        <v>#DIV/0!</v>
      </c>
      <c r="BD78" s="81" t="e">
        <f t="array" ref="BD78">_xlfn.STDEV.P(IF($E$5:$E$30=$E77,BD$5:BD$30))</f>
        <v>#DIV/0!</v>
      </c>
      <c r="BE78" s="81" t="e">
        <f t="array" ref="BE78">_xlfn.STDEV.P(IF($E$5:$E$30=$E77,BE$5:BE$30))</f>
        <v>#DIV/0!</v>
      </c>
      <c r="BF78" s="81" t="e">
        <f t="array" ref="BF78">_xlfn.STDEV.P(IF($E$5:$E$30=$E77,BF$5:BF$30))</f>
        <v>#DIV/0!</v>
      </c>
      <c r="BG78" s="81" t="e">
        <f t="array" ref="BG78">_xlfn.STDEV.P(IF($E$5:$E$30=$E77,BG$5:BG$30))</f>
        <v>#DIV/0!</v>
      </c>
      <c r="BH78" s="81" t="e">
        <f t="array" ref="BH78">_xlfn.STDEV.P(IF($E$5:$E$30=$E77,BH$5:BH$30))</f>
        <v>#DIV/0!</v>
      </c>
      <c r="BI78" s="81" t="e">
        <f t="array" ref="BI78">_xlfn.STDEV.P(IF($E$5:$E$30=$E77,BI$5:BI$30))</f>
        <v>#DIV/0!</v>
      </c>
      <c r="BJ78" s="81" t="e">
        <f t="array" ref="BJ78">_xlfn.STDEV.P(IF($E$5:$E$30=$E77,BJ$5:BJ$30))</f>
        <v>#DIV/0!</v>
      </c>
      <c r="BK78" s="81" t="e">
        <f t="array" ref="BK78">_xlfn.STDEV.P(IF($E$5:$E$30=$E77,BK$5:BK$30))</f>
        <v>#DIV/0!</v>
      </c>
      <c r="BL78" s="81" t="e">
        <f t="array" ref="BL78">_xlfn.STDEV.P(IF($E$5:$E$30=$E77,BL$5:BL$30))</f>
        <v>#DIV/0!</v>
      </c>
      <c r="BM78" s="81" t="e">
        <f t="array" ref="BM78">_xlfn.STDEV.P(IF($E$5:$E$30=$E77,BM$5:BM$30))</f>
        <v>#DIV/0!</v>
      </c>
      <c r="BN78" s="81" t="e">
        <f t="array" ref="BN78">_xlfn.STDEV.P(IF($E$5:$E$30=$E77,BN$5:BN$30))</f>
        <v>#DIV/0!</v>
      </c>
      <c r="BO78" s="81" t="e">
        <f t="array" ref="BO78">_xlfn.STDEV.P(IF($E$5:$E$30=$E77,BO$5:BO$30))</f>
        <v>#DIV/0!</v>
      </c>
      <c r="BP78" s="81" t="e">
        <f t="array" ref="BP78">_xlfn.STDEV.P(IF($E$5:$E$30=$E77,BP$5:BP$30))</f>
        <v>#DIV/0!</v>
      </c>
      <c r="BQ78" s="104" t="s">
        <v>11</v>
      </c>
      <c r="BR78" s="74" t="e">
        <f t="array" ref="BR78">_xlfn.STDEV.P(IF($E$5:$E$30=$E77,BR$5:BR$30))</f>
        <v>#DIV/0!</v>
      </c>
      <c r="BS78" s="74" t="e">
        <f t="array" ref="BS78">_xlfn.STDEV.P(IF($E$5:$E$30=$E77,BS$5:BS$30))</f>
        <v>#DIV/0!</v>
      </c>
      <c r="BT78" s="74" t="e">
        <f t="array" ref="BT78">_xlfn.STDEV.P(IF($E$5:$E$30=$E77,BT$5:BT$30))</f>
        <v>#DIV/0!</v>
      </c>
      <c r="BU78" s="74" t="e">
        <f t="array" ref="BU78">_xlfn.STDEV.P(IF($E$5:$E$30=$E77,BU$5:BU$30))</f>
        <v>#DIV/0!</v>
      </c>
      <c r="BV78" s="74" t="e">
        <f t="array" ref="BV78">_xlfn.STDEV.P(IF($E$5:$E$30=$E77,BV$5:BV$30))</f>
        <v>#DIV/0!</v>
      </c>
      <c r="BW78" s="74" t="e">
        <f t="array" ref="BW78">_xlfn.STDEV.P(IF($E$5:$E$30=$E77,BW$5:BW$30))</f>
        <v>#DIV/0!</v>
      </c>
      <c r="BX78" s="74" t="e">
        <f t="array" ref="BX78">_xlfn.STDEV.P(IF($E$5:$E$30=$E77,BX$5:BX$30))</f>
        <v>#DIV/0!</v>
      </c>
      <c r="BY78" s="74" t="e">
        <f t="array" ref="BY78">_xlfn.STDEV.P(IF($E$5:$E$30=$E77,BY$5:BY$30))</f>
        <v>#DIV/0!</v>
      </c>
      <c r="BZ78" s="74" t="e">
        <f t="array" ref="BZ78">_xlfn.STDEV.P(IF($E$5:$E$30=$E77,BZ$5:BZ$30))</f>
        <v>#DIV/0!</v>
      </c>
      <c r="CA78" s="74" t="e">
        <f t="array" ref="CA78">_xlfn.STDEV.P(IF($E$5:$E$30=$E77,CA$5:CA$30))</f>
        <v>#DIV/0!</v>
      </c>
      <c r="CB78" s="74" t="e">
        <f t="array" ref="CB78">_xlfn.STDEV.P(IF($E$5:$E$30=$E77,CB$5:CB$30))</f>
        <v>#DIV/0!</v>
      </c>
      <c r="CC78" s="74" t="e">
        <f t="array" ref="CC78">_xlfn.STDEV.P(IF($E$5:$E$30=$E77,CC$5:CC$30))</f>
        <v>#DIV/0!</v>
      </c>
      <c r="CD78" s="74" t="e">
        <f t="array" ref="CD78">_xlfn.STDEV.P(IF($E$5:$E$30=$E77,CD$5:CD$30))</f>
        <v>#DIV/0!</v>
      </c>
      <c r="CE78" s="74" t="e">
        <f t="array" ref="CE78">_xlfn.STDEV.P(IF($E$5:$E$30=$E77,CE$5:CE$30))</f>
        <v>#DIV/0!</v>
      </c>
      <c r="CF78" s="74" t="e">
        <f t="array" ref="CF78">_xlfn.STDEV.P(IF($E$5:$E$30=$E77,CF$5:CF$30))</f>
        <v>#DIV/0!</v>
      </c>
      <c r="CG78" s="74" t="e">
        <f t="array" ref="CG78">_xlfn.STDEV.P(IF($E$5:$E$30=$E77,CG$5:CG$30))</f>
        <v>#DIV/0!</v>
      </c>
      <c r="CH78" s="74" t="e">
        <f t="array" ref="CH78">_xlfn.STDEV.P(IF($E$5:$E$30=$E77,CH$5:CH$30))</f>
        <v>#DIV/0!</v>
      </c>
      <c r="CI78" s="74" t="e">
        <f t="array" ref="CI78">_xlfn.STDEV.P(IF($E$5:$E$30=$E77,CI$5:CI$30))</f>
        <v>#DIV/0!</v>
      </c>
      <c r="CJ78" s="74" t="e">
        <f t="array" ref="CJ78">_xlfn.STDEV.P(IF($E$5:$E$30=$E77,CJ$5:CJ$30))</f>
        <v>#DIV/0!</v>
      </c>
      <c r="CK78" s="74" t="e">
        <f t="array" ref="CK78">_xlfn.STDEV.P(IF($E$5:$E$30=$E77,CK$5:CK$30))</f>
        <v>#DIV/0!</v>
      </c>
      <c r="CL78" s="74" t="e">
        <f t="array" ref="CL78">_xlfn.STDEV.P(IF($E$5:$E$30=$E77,CL$5:CL$30))</f>
        <v>#DIV/0!</v>
      </c>
      <c r="CM78" s="74" t="e">
        <f t="array" ref="CM78">_xlfn.STDEV.P(IF($E$5:$E$30=$E77,CM$5:CM$30))</f>
        <v>#DIV/0!</v>
      </c>
      <c r="CN78" s="74" t="e">
        <f t="array" ref="CN78">_xlfn.STDEV.P(IF($E$5:$E$30=$E77,CN$5:CN$30))</f>
        <v>#DIV/0!</v>
      </c>
      <c r="CO78" s="74" t="e">
        <f t="array" ref="CO78">_xlfn.STDEV.P(IF($E$5:$E$30=$E77,CO$5:CO$30))</f>
        <v>#DIV/0!</v>
      </c>
      <c r="CP78" s="74" t="e">
        <f t="array" ref="CP78">_xlfn.STDEV.P(IF($E$5:$E$30=$E77,CP$5:CP$30))</f>
        <v>#DIV/0!</v>
      </c>
      <c r="CQ78" s="74" t="e">
        <f t="array" ref="CQ78">_xlfn.STDEV.P(IF($E$5:$E$30=$E77,CQ$5:CQ$30))</f>
        <v>#DIV/0!</v>
      </c>
      <c r="CR78" s="74" t="e">
        <f t="array" ref="CR78">_xlfn.STDEV.P(IF($E$5:$E$30=$E77,CR$5:CR$30))</f>
        <v>#DIV/0!</v>
      </c>
      <c r="CS78" s="74" t="e">
        <f t="array" ref="CS78">_xlfn.STDEV.P(IF($E$5:$E$30=$E77,CS$5:CS$30))</f>
        <v>#DIV/0!</v>
      </c>
      <c r="CT78" s="74" t="e">
        <f t="array" ref="CT78">_xlfn.STDEV.P(IF($E$5:$E$30=$E77,CT$5:CT$30))</f>
        <v>#DIV/0!</v>
      </c>
      <c r="CU78" s="74" t="e">
        <f t="array" ref="CU78">_xlfn.STDEV.P(IF($E$5:$E$30=$E77,CU$5:CU$30))</f>
        <v>#DIV/0!</v>
      </c>
      <c r="CV78" s="74" t="e">
        <f t="array" ref="CV78">_xlfn.STDEV.P(IF($E$5:$E$30=$E77,CV$5:CV$30))</f>
        <v>#DIV/0!</v>
      </c>
      <c r="CW78" s="74" t="e">
        <f t="array" ref="CW78">_xlfn.STDEV.P(IF($E$5:$E$30=$E77,CW$5:CW$30))</f>
        <v>#DIV/0!</v>
      </c>
      <c r="CX78" s="74" t="e">
        <f t="array" ref="CX78">_xlfn.STDEV.P(IF($E$5:$E$30=$E77,CX$5:CX$30))</f>
        <v>#DIV/0!</v>
      </c>
      <c r="CY78" s="74" t="e">
        <f t="array" ref="CY78">_xlfn.STDEV.P(IF($E$5:$E$30=$E77,CY$5:CY$30))</f>
        <v>#DIV/0!</v>
      </c>
      <c r="CZ78" s="74" t="e">
        <f t="array" ref="CZ78">_xlfn.STDEV.P(IF($E$5:$E$30=$E77,CZ$5:CZ$30))</f>
        <v>#DIV/0!</v>
      </c>
      <c r="DA78" s="74" t="e">
        <f t="array" ref="DA78">_xlfn.STDEV.P(IF($E$5:$E$30=$E77,DA$5:DA$30))</f>
        <v>#DIV/0!</v>
      </c>
      <c r="DB78" s="74" t="e">
        <f t="array" ref="DB78">_xlfn.STDEV.P(IF($E$5:$E$30=$E77,DB$5:DB$30))</f>
        <v>#DIV/0!</v>
      </c>
      <c r="DC78" s="74" t="e">
        <f t="array" ref="DC78">_xlfn.STDEV.P(IF($E$5:$E$30=$E77,DC$5:DC$30))</f>
        <v>#DIV/0!</v>
      </c>
      <c r="DD78" s="74" t="e">
        <f t="array" ref="DD78">_xlfn.STDEV.P(IF($E$5:$E$30=$E77,DD$5:DD$30))</f>
        <v>#DIV/0!</v>
      </c>
      <c r="DE78" s="74" t="e">
        <f t="array" ref="DE78">_xlfn.STDEV.P(IF($E$5:$E$30=$E77,DE$5:DE$30))</f>
        <v>#DIV/0!</v>
      </c>
      <c r="DF78" s="74" t="e">
        <f t="array" ref="DF78">_xlfn.STDEV.P(IF($E$5:$E$30=$E77,DF$5:DF$30))</f>
        <v>#DIV/0!</v>
      </c>
      <c r="DG78" s="74" t="e">
        <f t="array" ref="DG78">_xlfn.STDEV.P(IF($E$5:$E$30=$E77,DG$5:DG$30))</f>
        <v>#DIV/0!</v>
      </c>
      <c r="DH78" s="74" t="e">
        <f t="array" ref="DH78">_xlfn.STDEV.P(IF($E$5:$E$30=$E77,DH$5:DH$30))</f>
        <v>#DIV/0!</v>
      </c>
      <c r="DI78" s="74" t="e">
        <f t="array" ref="DI78">_xlfn.STDEV.P(IF($E$5:$E$30=$E77,DI$5:DI$30))</f>
        <v>#DIV/0!</v>
      </c>
      <c r="DJ78" s="74" t="e">
        <f t="array" ref="DJ78">_xlfn.STDEV.P(IF($E$5:$E$30=$E77,DJ$5:DJ$30))</f>
        <v>#DIV/0!</v>
      </c>
      <c r="DK78" s="74" t="e">
        <f t="array" ref="DK78">_xlfn.STDEV.P(IF($E$5:$E$30=$E77,DK$5:DK$30))</f>
        <v>#DIV/0!</v>
      </c>
    </row>
    <row r="79" spans="1:115" ht="15">
      <c r="A79" s="113"/>
      <c r="E79" s="118"/>
      <c r="I79" s="52"/>
      <c r="K79" s="57"/>
      <c r="L79" s="57"/>
      <c r="P79" s="57"/>
      <c r="Q79" s="57"/>
      <c r="R79" s="57"/>
      <c r="S79" s="243"/>
      <c r="T79" s="243"/>
      <c r="U79" s="57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DF79" s="44"/>
      <c r="DG79" s="44"/>
      <c r="DH79" s="44"/>
      <c r="DI79" s="44"/>
      <c r="DJ79" s="44"/>
      <c r="DK79" s="44"/>
    </row>
    <row r="80" spans="1:115" ht="14.25" customHeight="1">
      <c r="A80" s="113"/>
      <c r="E80" s="118" t="str">
        <f>'FIG6 Groups'!C19</f>
        <v>Group 14</v>
      </c>
      <c r="I80" s="118" t="str">
        <f>E80</f>
        <v>Group 14</v>
      </c>
      <c r="J80" s="107" t="e">
        <f>AVERAGEIF($E$5:$E$30,$E80,J$5:J$30)</f>
        <v>#DIV/0!</v>
      </c>
      <c r="K80" s="107"/>
      <c r="L80" s="107"/>
      <c r="M80" s="107" t="e">
        <f>AVERAGEIF($E$5:$E$30,$E80,M$5:M$30)</f>
        <v>#DIV/0!</v>
      </c>
      <c r="N80" s="107" t="e">
        <f>AVERAGEIF($E$5:$E$30,$E80,N$5:N$30)</f>
        <v>#DIV/0!</v>
      </c>
      <c r="O80" s="107" t="e">
        <f>AVERAGEIF($E$5:$E$30,$E80,O$5:O$30)</f>
        <v>#DIV/0!</v>
      </c>
      <c r="P80" s="107" t="e">
        <f>AVERAGEIF($E$5:$E$30,$E80,P$5:P$30)</f>
        <v>#DIV/0!</v>
      </c>
      <c r="Q80" s="107" t="e">
        <f>AVERAGEIF($E$5:$E$30,$E80,Q$5:Q$30)</f>
        <v>#DIV/0!</v>
      </c>
      <c r="R80" s="107" t="e">
        <f>AVERAGEIF($E$5:$E$30,$E80,R$5:R$30)</f>
        <v>#DIV/0!</v>
      </c>
      <c r="S80" s="244"/>
      <c r="T80" s="244" t="e">
        <f>AVERAGEIF($E$5:$E$30,$E80,T$5:T$30)</f>
        <v>#DIV/0!</v>
      </c>
      <c r="U80" s="107" t="e">
        <f>AVERAGEIF($E$5:$E$30,$E80,U$5:U$30)</f>
        <v>#DIV/0!</v>
      </c>
      <c r="V80" s="72" t="s">
        <v>9</v>
      </c>
      <c r="W80" s="78" t="e">
        <f>AVERAGEIF($E$5:$E$30,$E80,W$5:W$30)</f>
        <v>#DIV/0!</v>
      </c>
      <c r="X80" s="78" t="e">
        <f>AVERAGEIF($E$5:$E$30,$E80,X$5:X$30)</f>
        <v>#DIV/0!</v>
      </c>
      <c r="Y80" s="78" t="e">
        <f>AVERAGEIF($E$5:$E$30,$E80,Y$5:Y$30)</f>
        <v>#DIV/0!</v>
      </c>
      <c r="Z80" s="78" t="e">
        <f>AVERAGEIF($E$5:$E$30,$E80,Z$5:Z$30)</f>
        <v>#DIV/0!</v>
      </c>
      <c r="AA80" s="78" t="e">
        <f>AVERAGEIF($E$5:$E$30,$E80,AA$5:AA$30)</f>
        <v>#DIV/0!</v>
      </c>
      <c r="AB80" s="78" t="e">
        <f>AVERAGEIF($E$5:$E$30,$E80,AB$5:AB$30)</f>
        <v>#DIV/0!</v>
      </c>
      <c r="AC80" s="78" t="e">
        <f>AVERAGEIF($E$5:$E$30,$E80,AC$5:AC$30)</f>
        <v>#DIV/0!</v>
      </c>
      <c r="AD80" s="78" t="e">
        <f>AVERAGEIF($E$5:$E$30,$E80,AD$5:AD$30)</f>
        <v>#DIV/0!</v>
      </c>
      <c r="AE80" s="78" t="e">
        <f>AVERAGEIF($E$5:$E$30,$E80,AE$5:AE$30)</f>
        <v>#DIV/0!</v>
      </c>
      <c r="AF80" s="78" t="e">
        <f>AVERAGEIF($E$5:$E$30,$E80,AF$5:AF$30)</f>
        <v>#DIV/0!</v>
      </c>
      <c r="AG80" s="78" t="e">
        <f>AVERAGEIF($E$5:$E$30,$E80,AG$5:AG$30)</f>
        <v>#DIV/0!</v>
      </c>
      <c r="AH80" s="78" t="e">
        <f>AVERAGEIF($E$5:$E$30,$E80,AH$5:AH$30)</f>
        <v>#DIV/0!</v>
      </c>
      <c r="AI80" s="78" t="e">
        <f>AVERAGEIF($E$5:$E$30,$E80,AI$5:AI$30)</f>
        <v>#DIV/0!</v>
      </c>
      <c r="AJ80" s="78" t="e">
        <f>AVERAGEIF($E$5:$E$30,$E80,AJ$5:AJ$30)</f>
        <v>#DIV/0!</v>
      </c>
      <c r="AK80" s="78" t="e">
        <f>AVERAGEIF($E$5:$E$30,$E80,AK$5:AK$30)</f>
        <v>#DIV/0!</v>
      </c>
      <c r="AL80" s="78" t="e">
        <f>AVERAGEIF($E$5:$E$30,$E80,AL$5:AL$30)</f>
        <v>#DIV/0!</v>
      </c>
      <c r="AM80" s="78" t="e">
        <f>AVERAGEIF($E$5:$E$30,$E80,AM$5:AM$30)</f>
        <v>#DIV/0!</v>
      </c>
      <c r="AN80" s="78" t="e">
        <f>AVERAGEIF($E$5:$E$30,$E80,AN$5:AN$30)</f>
        <v>#DIV/0!</v>
      </c>
      <c r="AO80" s="78" t="e">
        <f>AVERAGEIF($E$5:$E$30,$E80,AO$5:AO$30)</f>
        <v>#DIV/0!</v>
      </c>
      <c r="AP80" s="78" t="e">
        <f>AVERAGEIF($E$5:$E$30,$E80,AP$5:AP$30)</f>
        <v>#DIV/0!</v>
      </c>
      <c r="AQ80" s="78" t="e">
        <f>AVERAGEIF($E$5:$E$30,$E80,AQ$5:AQ$30)</f>
        <v>#DIV/0!</v>
      </c>
      <c r="AR80" s="78" t="e">
        <f>AVERAGEIF($E$5:$E$30,$E80,AR$5:AR$30)</f>
        <v>#DIV/0!</v>
      </c>
      <c r="AS80" s="78" t="e">
        <f>AVERAGEIF($E$5:$E$30,$E80,AS$5:AS$30)</f>
        <v>#DIV/0!</v>
      </c>
      <c r="AT80" s="78" t="e">
        <f>AVERAGEIF($E$5:$E$30,$E80,AT$5:AT$30)</f>
        <v>#DIV/0!</v>
      </c>
      <c r="AU80" s="78" t="e">
        <f>AVERAGEIF($E$5:$E$30,$E80,AU$5:AU$30)</f>
        <v>#DIV/0!</v>
      </c>
      <c r="AV80" s="78" t="e">
        <f>AVERAGEIF($E$5:$E$30,$E80,AV$5:AV$30)</f>
        <v>#DIV/0!</v>
      </c>
      <c r="AW80" s="78" t="e">
        <f>AVERAGEIF($E$5:$E$30,$E80,AW$5:AW$30)</f>
        <v>#DIV/0!</v>
      </c>
      <c r="AX80" s="78" t="e">
        <f>AVERAGEIF($E$5:$E$30,$E80,AX$5:AX$30)</f>
        <v>#DIV/0!</v>
      </c>
      <c r="AY80" s="78" t="e">
        <f>AVERAGEIF($E$5:$E$30,$E80,AY$5:AY$30)</f>
        <v>#DIV/0!</v>
      </c>
      <c r="AZ80" s="78" t="e">
        <f>AVERAGEIF($E$5:$E$30,$E80,AZ$5:AZ$30)</f>
        <v>#DIV/0!</v>
      </c>
      <c r="BA80" s="78" t="e">
        <f>AVERAGEIF($E$5:$E$30,$E80,BA$5:BA$30)</f>
        <v>#DIV/0!</v>
      </c>
      <c r="BB80" s="78" t="e">
        <f>AVERAGEIF($E$5:$E$30,$E80,BB$5:BB$30)</f>
        <v>#DIV/0!</v>
      </c>
      <c r="BC80" s="78" t="e">
        <f>AVERAGEIF($E$5:$E$30,$E80,BC$5:BC$30)</f>
        <v>#DIV/0!</v>
      </c>
      <c r="BD80" s="78" t="e">
        <f>AVERAGEIF($E$5:$E$30,$E80,BD$5:BD$30)</f>
        <v>#DIV/0!</v>
      </c>
      <c r="BE80" s="78" t="e">
        <f>AVERAGEIF($E$5:$E$30,$E80,BE$5:BE$30)</f>
        <v>#DIV/0!</v>
      </c>
      <c r="BF80" s="78" t="e">
        <f>AVERAGEIF($E$5:$E$30,$E80,BF$5:BF$30)</f>
        <v>#DIV/0!</v>
      </c>
      <c r="BG80" s="78" t="e">
        <f>AVERAGEIF($E$5:$E$30,$E80,BG$5:BG$30)</f>
        <v>#DIV/0!</v>
      </c>
      <c r="BH80" s="78" t="e">
        <f>AVERAGEIF($E$5:$E$30,$E80,BH$5:BH$30)</f>
        <v>#DIV/0!</v>
      </c>
      <c r="BI80" s="78" t="e">
        <f>AVERAGEIF($E$5:$E$30,$E80,BI$5:BI$30)</f>
        <v>#DIV/0!</v>
      </c>
      <c r="BJ80" s="78" t="e">
        <f>AVERAGEIF($E$5:$E$30,$E80,BJ$5:BJ$30)</f>
        <v>#DIV/0!</v>
      </c>
      <c r="BK80" s="78" t="e">
        <f>AVERAGEIF($E$5:$E$30,$E80,BK$5:BK$30)</f>
        <v>#DIV/0!</v>
      </c>
      <c r="BL80" s="78" t="e">
        <f>AVERAGEIF($E$5:$E$30,$E80,BL$5:BL$30)</f>
        <v>#DIV/0!</v>
      </c>
      <c r="BM80" s="78" t="e">
        <f>AVERAGEIF($E$5:$E$30,$E80,BM$5:BM$30)</f>
        <v>#DIV/0!</v>
      </c>
      <c r="BN80" s="78" t="e">
        <f>AVERAGEIF($E$5:$E$30,$E80,BN$5:BN$30)</f>
        <v>#DIV/0!</v>
      </c>
      <c r="BO80" s="78" t="e">
        <f>AVERAGEIF($E$5:$E$30,$E80,BO$5:BO$30)</f>
        <v>#DIV/0!</v>
      </c>
      <c r="BP80" s="78" t="e">
        <f>AVERAGEIF($E$5:$E$30,$E80,BP$5:BP$30)</f>
        <v>#DIV/0!</v>
      </c>
      <c r="BQ80" s="103" t="s">
        <v>9</v>
      </c>
      <c r="BR80" s="73" t="e">
        <f>AVERAGEIF($E$5:$E$30,$E80,BR$5:BR$30)</f>
        <v>#DIV/0!</v>
      </c>
      <c r="BS80" s="73" t="e">
        <f>AVERAGEIF($E$5:$E$30,$E80,BS$5:BS$30)</f>
        <v>#DIV/0!</v>
      </c>
      <c r="BT80" s="73" t="e">
        <f>AVERAGEIF($E$5:$E$30,$E80,BT$5:BT$30)</f>
        <v>#DIV/0!</v>
      </c>
      <c r="BU80" s="73" t="e">
        <f>AVERAGEIF($E$5:$E$30,$E80,BU$5:BU$30)</f>
        <v>#DIV/0!</v>
      </c>
      <c r="BV80" s="73" t="e">
        <f>AVERAGEIF($E$5:$E$30,$E80,BV$5:BV$30)</f>
        <v>#DIV/0!</v>
      </c>
      <c r="BW80" s="73" t="e">
        <f>AVERAGEIF($E$5:$E$30,$E80,BW$5:BW$30)</f>
        <v>#DIV/0!</v>
      </c>
      <c r="BX80" s="73" t="e">
        <f>AVERAGEIF($E$5:$E$30,$E80,BX$5:BX$30)</f>
        <v>#DIV/0!</v>
      </c>
      <c r="BY80" s="73" t="e">
        <f>AVERAGEIF($E$5:$E$30,$E80,BY$5:BY$30)</f>
        <v>#DIV/0!</v>
      </c>
      <c r="BZ80" s="73" t="e">
        <f>AVERAGEIF($E$5:$E$30,$E80,BZ$5:BZ$30)</f>
        <v>#DIV/0!</v>
      </c>
      <c r="CA80" s="73" t="e">
        <f>AVERAGEIF($E$5:$E$30,$E80,CA$5:CA$30)</f>
        <v>#DIV/0!</v>
      </c>
      <c r="CB80" s="73" t="e">
        <f>AVERAGEIF($E$5:$E$30,$E80,CB$5:CB$30)</f>
        <v>#DIV/0!</v>
      </c>
      <c r="CC80" s="73" t="e">
        <f>AVERAGEIF($E$5:$E$30,$E80,CC$5:CC$30)</f>
        <v>#DIV/0!</v>
      </c>
      <c r="CD80" s="73" t="e">
        <f>AVERAGEIF($E$5:$E$30,$E80,CD$5:CD$30)</f>
        <v>#DIV/0!</v>
      </c>
      <c r="CE80" s="73" t="e">
        <f>AVERAGEIF($E$5:$E$30,$E80,CE$5:CE$30)</f>
        <v>#DIV/0!</v>
      </c>
      <c r="CF80" s="73" t="e">
        <f>AVERAGEIF($E$5:$E$30,$E80,CF$5:CF$30)</f>
        <v>#DIV/0!</v>
      </c>
      <c r="CG80" s="73" t="e">
        <f>AVERAGEIF($E$5:$E$30,$E80,CG$5:CG$30)</f>
        <v>#DIV/0!</v>
      </c>
      <c r="CH80" s="73" t="e">
        <f>AVERAGEIF($E$5:$E$30,$E80,CH$5:CH$30)</f>
        <v>#DIV/0!</v>
      </c>
      <c r="CI80" s="73" t="e">
        <f>AVERAGEIF($E$5:$E$30,$E80,CI$5:CI$30)</f>
        <v>#DIV/0!</v>
      </c>
      <c r="CJ80" s="73" t="e">
        <f>AVERAGEIF($E$5:$E$30,$E80,CJ$5:CJ$30)</f>
        <v>#DIV/0!</v>
      </c>
      <c r="CK80" s="73" t="e">
        <f>AVERAGEIF($E$5:$E$30,$E80,CK$5:CK$30)</f>
        <v>#DIV/0!</v>
      </c>
      <c r="CL80" s="73" t="e">
        <f>AVERAGEIF($E$5:$E$30,$E80,CL$5:CL$30)</f>
        <v>#DIV/0!</v>
      </c>
      <c r="CM80" s="73" t="e">
        <f>AVERAGEIF($E$5:$E$30,$E80,CM$5:CM$30)</f>
        <v>#DIV/0!</v>
      </c>
      <c r="CN80" s="73" t="e">
        <f>AVERAGEIF($E$5:$E$30,$E80,CN$5:CN$30)</f>
        <v>#DIV/0!</v>
      </c>
      <c r="CO80" s="73" t="e">
        <f>AVERAGEIF($E$5:$E$30,$E80,CO$5:CO$30)</f>
        <v>#DIV/0!</v>
      </c>
      <c r="CP80" s="73" t="e">
        <f>AVERAGEIF($E$5:$E$30,$E80,CP$5:CP$30)</f>
        <v>#DIV/0!</v>
      </c>
      <c r="CQ80" s="73" t="e">
        <f>AVERAGEIF($E$5:$E$30,$E80,CQ$5:CQ$30)</f>
        <v>#DIV/0!</v>
      </c>
      <c r="CR80" s="73" t="e">
        <f>AVERAGEIF($E$5:$E$30,$E80,CR$5:CR$30)</f>
        <v>#DIV/0!</v>
      </c>
      <c r="CS80" s="73" t="e">
        <f>AVERAGEIF($E$5:$E$30,$E80,CS$5:CS$30)</f>
        <v>#DIV/0!</v>
      </c>
      <c r="CT80" s="73" t="e">
        <f>AVERAGEIF($E$5:$E$30,$E80,CT$5:CT$30)</f>
        <v>#DIV/0!</v>
      </c>
      <c r="CU80" s="73" t="e">
        <f>AVERAGEIF($E$5:$E$30,$E80,CU$5:CU$30)</f>
        <v>#DIV/0!</v>
      </c>
      <c r="CV80" s="73" t="e">
        <f>AVERAGEIF($E$5:$E$30,$E80,CV$5:CV$30)</f>
        <v>#DIV/0!</v>
      </c>
      <c r="CW80" s="73" t="e">
        <f>AVERAGEIF($E$5:$E$30,$E80,CW$5:CW$30)</f>
        <v>#DIV/0!</v>
      </c>
      <c r="CX80" s="73" t="e">
        <f>AVERAGEIF($E$5:$E$30,$E80,CX$5:CX$30)</f>
        <v>#DIV/0!</v>
      </c>
      <c r="CY80" s="73" t="e">
        <f>AVERAGEIF($E$5:$E$30,$E80,CY$5:CY$30)</f>
        <v>#DIV/0!</v>
      </c>
      <c r="CZ80" s="73" t="e">
        <f>AVERAGEIF($E$5:$E$30,$E80,CZ$5:CZ$30)</f>
        <v>#DIV/0!</v>
      </c>
      <c r="DA80" s="73" t="e">
        <f>AVERAGEIF($E$5:$E$30,$E80,DA$5:DA$30)</f>
        <v>#DIV/0!</v>
      </c>
      <c r="DB80" s="73" t="e">
        <f>AVERAGEIF($E$5:$E$30,$E80,DB$5:DB$30)</f>
        <v>#DIV/0!</v>
      </c>
      <c r="DC80" s="73" t="e">
        <f>AVERAGEIF($E$5:$E$30,$E80,DC$5:DC$30)</f>
        <v>#DIV/0!</v>
      </c>
      <c r="DD80" s="73" t="e">
        <f>AVERAGEIF($E$5:$E$30,$E80,DD$5:DD$30)</f>
        <v>#DIV/0!</v>
      </c>
      <c r="DE80" s="73" t="e">
        <f>AVERAGEIF($E$5:$E$30,$E80,DE$5:DE$30)</f>
        <v>#DIV/0!</v>
      </c>
      <c r="DF80" s="73" t="e">
        <f>AVERAGEIF($E$5:$E$30,$E80,DF$5:DF$30)</f>
        <v>#DIV/0!</v>
      </c>
      <c r="DG80" s="73" t="e">
        <f>AVERAGEIF($E$5:$E$30,$E80,DG$5:DG$30)</f>
        <v>#DIV/0!</v>
      </c>
      <c r="DH80" s="73" t="e">
        <f>AVERAGEIF($E$5:$E$30,$E80,DH$5:DH$30)</f>
        <v>#DIV/0!</v>
      </c>
      <c r="DI80" s="73" t="e">
        <f>AVERAGEIF($E$5:$E$30,$E80,DI$5:DI$30)</f>
        <v>#DIV/0!</v>
      </c>
      <c r="DJ80" s="73" t="e">
        <f>AVERAGEIF($E$5:$E$30,$E80,DJ$5:DJ$30)</f>
        <v>#DIV/0!</v>
      </c>
      <c r="DK80" s="73" t="e">
        <f>AVERAGEIF($E$5:$E$30,$E80,DK$5:DK$30)</f>
        <v>#DIV/0!</v>
      </c>
    </row>
    <row r="81" spans="1:115" ht="14.25" customHeight="1">
      <c r="A81" s="113"/>
      <c r="E81" s="93"/>
      <c r="I81" s="93"/>
      <c r="J81" s="107" t="e">
        <f t="array" ref="J81">_xlfn.STDEV.P(IF($E$5:$E$30=$E80,J$5:J$30))</f>
        <v>#DIV/0!</v>
      </c>
      <c r="K81" s="107"/>
      <c r="L81" s="107"/>
      <c r="M81" s="107" t="e">
        <f t="array" ref="M81">_xlfn.STDEV.P(IF($E$5:$E$30=$E80,M$5:M$30))</f>
        <v>#DIV/0!</v>
      </c>
      <c r="N81" s="107" t="e">
        <f t="array" ref="N81">_xlfn.STDEV.P(IF($E$5:$E$30=$E80,N$5:N$30))</f>
        <v>#DIV/0!</v>
      </c>
      <c r="O81" s="107" t="e">
        <f t="array" ref="O81">_xlfn.STDEV.P(IF($E$5:$E$30=$E80,O$5:O$30))</f>
        <v>#DIV/0!</v>
      </c>
      <c r="P81" s="107" t="e">
        <f t="array" ref="P81">_xlfn.STDEV.P(IF($E$5:$E$30=$E80,P$5:P$30))</f>
        <v>#DIV/0!</v>
      </c>
      <c r="Q81" s="107" t="e">
        <f t="array" ref="Q81">_xlfn.STDEV.P(IF($E$5:$E$30=$E80,Q$5:Q$30))</f>
        <v>#DIV/0!</v>
      </c>
      <c r="R81" s="107" t="e">
        <f t="array" ref="R81">_xlfn.STDEV.P(IF($E$5:$E$30=$E80,R$5:R$30))</f>
        <v>#DIV/0!</v>
      </c>
      <c r="S81" s="244"/>
      <c r="T81" s="244" t="e">
        <f t="array" ref="T81">_xlfn.STDEV.P(IF($E$5:$E$30=$E80,T$5:T$30))</f>
        <v>#DIV/0!</v>
      </c>
      <c r="U81" s="107" t="e">
        <f t="array" ref="U81">_xlfn.STDEV.P(IF($E$5:$E$30=$E80,U$5:U$30))</f>
        <v>#DIV/0!</v>
      </c>
      <c r="V81" s="72" t="s">
        <v>11</v>
      </c>
      <c r="W81" s="81" t="e">
        <f t="array" ref="W81">_xlfn.STDEV.P(IF($E$5:$E$30=$E80,W$5:W$30))</f>
        <v>#DIV/0!</v>
      </c>
      <c r="X81" s="81" t="e">
        <f t="array" ref="X81">_xlfn.STDEV.P(IF($E$5:$E$30=$E80,X$5:X$30))</f>
        <v>#DIV/0!</v>
      </c>
      <c r="Y81" s="81" t="e">
        <f t="array" ref="Y81">_xlfn.STDEV.P(IF($E$5:$E$30=$E80,Y$5:Y$30))</f>
        <v>#DIV/0!</v>
      </c>
      <c r="Z81" s="81" t="e">
        <f t="array" ref="Z81">_xlfn.STDEV.P(IF($E$5:$E$30=$E80,Z$5:Z$30))</f>
        <v>#DIV/0!</v>
      </c>
      <c r="AA81" s="81" t="e">
        <f t="array" ref="AA81">_xlfn.STDEV.P(IF($E$5:$E$30=$E80,AA$5:AA$30))</f>
        <v>#DIV/0!</v>
      </c>
      <c r="AB81" s="81" t="e">
        <f t="array" ref="AB81">_xlfn.STDEV.P(IF($E$5:$E$30=$E80,AB$5:AB$30))</f>
        <v>#DIV/0!</v>
      </c>
      <c r="AC81" s="81" t="e">
        <f t="array" ref="AC81">_xlfn.STDEV.P(IF($E$5:$E$30=$E80,AC$5:AC$30))</f>
        <v>#DIV/0!</v>
      </c>
      <c r="AD81" s="81" t="e">
        <f t="array" ref="AD81">_xlfn.STDEV.P(IF($E$5:$E$30=$E80,AD$5:AD$30))</f>
        <v>#DIV/0!</v>
      </c>
      <c r="AE81" s="81" t="e">
        <f t="array" ref="AE81">_xlfn.STDEV.P(IF($E$5:$E$30=$E80,AE$5:AE$30))</f>
        <v>#DIV/0!</v>
      </c>
      <c r="AF81" s="81" t="e">
        <f t="array" ref="AF81">_xlfn.STDEV.P(IF($E$5:$E$30=$E80,AF$5:AF$30))</f>
        <v>#DIV/0!</v>
      </c>
      <c r="AG81" s="81" t="e">
        <f t="array" ref="AG81">_xlfn.STDEV.P(IF($E$5:$E$30=$E80,AG$5:AG$30))</f>
        <v>#DIV/0!</v>
      </c>
      <c r="AH81" s="81" t="e">
        <f t="array" ref="AH81">_xlfn.STDEV.P(IF($E$5:$E$30=$E80,AH$5:AH$30))</f>
        <v>#DIV/0!</v>
      </c>
      <c r="AI81" s="81" t="e">
        <f t="array" ref="AI81">_xlfn.STDEV.P(IF($E$5:$E$30=$E80,AI$5:AI$30))</f>
        <v>#DIV/0!</v>
      </c>
      <c r="AJ81" s="81" t="e">
        <f t="array" ref="AJ81">_xlfn.STDEV.P(IF($E$5:$E$30=$E80,AJ$5:AJ$30))</f>
        <v>#DIV/0!</v>
      </c>
      <c r="AK81" s="81" t="e">
        <f t="array" ref="AK81">_xlfn.STDEV.P(IF($E$5:$E$30=$E80,AK$5:AK$30))</f>
        <v>#DIV/0!</v>
      </c>
      <c r="AL81" s="81" t="e">
        <f t="array" ref="AL81">_xlfn.STDEV.P(IF($E$5:$E$30=$E80,AL$5:AL$30))</f>
        <v>#DIV/0!</v>
      </c>
      <c r="AM81" s="81" t="e">
        <f t="array" ref="AM81">_xlfn.STDEV.P(IF($E$5:$E$30=$E80,AM$5:AM$30))</f>
        <v>#DIV/0!</v>
      </c>
      <c r="AN81" s="81" t="e">
        <f t="array" ref="AN81">_xlfn.STDEV.P(IF($E$5:$E$30=$E80,AN$5:AN$30))</f>
        <v>#DIV/0!</v>
      </c>
      <c r="AO81" s="81" t="e">
        <f t="array" ref="AO81">_xlfn.STDEV.P(IF($E$5:$E$30=$E80,AO$5:AO$30))</f>
        <v>#DIV/0!</v>
      </c>
      <c r="AP81" s="81" t="e">
        <f t="array" ref="AP81">_xlfn.STDEV.P(IF($E$5:$E$30=$E80,AP$5:AP$30))</f>
        <v>#DIV/0!</v>
      </c>
      <c r="AQ81" s="81" t="e">
        <f t="array" ref="AQ81">_xlfn.STDEV.P(IF($E$5:$E$30=$E80,AQ$5:AQ$30))</f>
        <v>#DIV/0!</v>
      </c>
      <c r="AR81" s="81" t="e">
        <f t="array" ref="AR81">_xlfn.STDEV.P(IF($E$5:$E$30=$E80,AR$5:AR$30))</f>
        <v>#DIV/0!</v>
      </c>
      <c r="AS81" s="81" t="e">
        <f t="array" ref="AS81">_xlfn.STDEV.P(IF($E$5:$E$30=$E80,AS$5:AS$30))</f>
        <v>#DIV/0!</v>
      </c>
      <c r="AT81" s="81" t="e">
        <f t="array" ref="AT81">_xlfn.STDEV.P(IF($E$5:$E$30=$E80,AT$5:AT$30))</f>
        <v>#DIV/0!</v>
      </c>
      <c r="AU81" s="81" t="e">
        <f t="array" ref="AU81">_xlfn.STDEV.P(IF($E$5:$E$30=$E80,AU$5:AU$30))</f>
        <v>#DIV/0!</v>
      </c>
      <c r="AV81" s="81" t="e">
        <f t="array" ref="AV81">_xlfn.STDEV.P(IF($E$5:$E$30=$E80,AV$5:AV$30))</f>
        <v>#DIV/0!</v>
      </c>
      <c r="AW81" s="81" t="e">
        <f t="array" ref="AW81">_xlfn.STDEV.P(IF($E$5:$E$30=$E80,AW$5:AW$30))</f>
        <v>#DIV/0!</v>
      </c>
      <c r="AX81" s="81" t="e">
        <f t="array" ref="AX81">_xlfn.STDEV.P(IF($E$5:$E$30=$E80,AX$5:AX$30))</f>
        <v>#DIV/0!</v>
      </c>
      <c r="AY81" s="81" t="e">
        <f t="array" ref="AY81">_xlfn.STDEV.P(IF($E$5:$E$30=$E80,AY$5:AY$30))</f>
        <v>#DIV/0!</v>
      </c>
      <c r="AZ81" s="81" t="e">
        <f t="array" ref="AZ81">_xlfn.STDEV.P(IF($E$5:$E$30=$E80,AZ$5:AZ$30))</f>
        <v>#DIV/0!</v>
      </c>
      <c r="BA81" s="81" t="e">
        <f t="array" ref="BA81">_xlfn.STDEV.P(IF($E$5:$E$30=$E80,BA$5:BA$30))</f>
        <v>#DIV/0!</v>
      </c>
      <c r="BB81" s="81" t="e">
        <f t="array" ref="BB81">_xlfn.STDEV.P(IF($E$5:$E$30=$E80,BB$5:BB$30))</f>
        <v>#DIV/0!</v>
      </c>
      <c r="BC81" s="81" t="e">
        <f t="array" ref="BC81">_xlfn.STDEV.P(IF($E$5:$E$30=$E80,BC$5:BC$30))</f>
        <v>#DIV/0!</v>
      </c>
      <c r="BD81" s="81" t="e">
        <f t="array" ref="BD81">_xlfn.STDEV.P(IF($E$5:$E$30=$E80,BD$5:BD$30))</f>
        <v>#DIV/0!</v>
      </c>
      <c r="BE81" s="81" t="e">
        <f t="array" ref="BE81">_xlfn.STDEV.P(IF($E$5:$E$30=$E80,BE$5:BE$30))</f>
        <v>#DIV/0!</v>
      </c>
      <c r="BF81" s="81" t="e">
        <f t="array" ref="BF81">_xlfn.STDEV.P(IF($E$5:$E$30=$E80,BF$5:BF$30))</f>
        <v>#DIV/0!</v>
      </c>
      <c r="BG81" s="81" t="e">
        <f t="array" ref="BG81">_xlfn.STDEV.P(IF($E$5:$E$30=$E80,BG$5:BG$30))</f>
        <v>#DIV/0!</v>
      </c>
      <c r="BH81" s="81" t="e">
        <f t="array" ref="BH81">_xlfn.STDEV.P(IF($E$5:$E$30=$E80,BH$5:BH$30))</f>
        <v>#DIV/0!</v>
      </c>
      <c r="BI81" s="81" t="e">
        <f t="array" ref="BI81">_xlfn.STDEV.P(IF($E$5:$E$30=$E80,BI$5:BI$30))</f>
        <v>#DIV/0!</v>
      </c>
      <c r="BJ81" s="81" t="e">
        <f t="array" ref="BJ81">_xlfn.STDEV.P(IF($E$5:$E$30=$E80,BJ$5:BJ$30))</f>
        <v>#DIV/0!</v>
      </c>
      <c r="BK81" s="81" t="e">
        <f t="array" ref="BK81">_xlfn.STDEV.P(IF($E$5:$E$30=$E80,BK$5:BK$30))</f>
        <v>#DIV/0!</v>
      </c>
      <c r="BL81" s="81" t="e">
        <f t="array" ref="BL81">_xlfn.STDEV.P(IF($E$5:$E$30=$E80,BL$5:BL$30))</f>
        <v>#DIV/0!</v>
      </c>
      <c r="BM81" s="81" t="e">
        <f t="array" ref="BM81">_xlfn.STDEV.P(IF($E$5:$E$30=$E80,BM$5:BM$30))</f>
        <v>#DIV/0!</v>
      </c>
      <c r="BN81" s="81" t="e">
        <f t="array" ref="BN81">_xlfn.STDEV.P(IF($E$5:$E$30=$E80,BN$5:BN$30))</f>
        <v>#DIV/0!</v>
      </c>
      <c r="BO81" s="81" t="e">
        <f t="array" ref="BO81">_xlfn.STDEV.P(IF($E$5:$E$30=$E80,BO$5:BO$30))</f>
        <v>#DIV/0!</v>
      </c>
      <c r="BP81" s="81" t="e">
        <f t="array" ref="BP81">_xlfn.STDEV.P(IF($E$5:$E$30=$E80,BP$5:BP$30))</f>
        <v>#DIV/0!</v>
      </c>
      <c r="BQ81" s="104" t="s">
        <v>11</v>
      </c>
      <c r="BR81" s="74" t="e">
        <f t="array" ref="BR81">_xlfn.STDEV.P(IF($E$5:$E$30=$E80,BR$5:BR$30))</f>
        <v>#DIV/0!</v>
      </c>
      <c r="BS81" s="74" t="e">
        <f t="array" ref="BS81">_xlfn.STDEV.P(IF($E$5:$E$30=$E80,BS$5:BS$30))</f>
        <v>#DIV/0!</v>
      </c>
      <c r="BT81" s="74" t="e">
        <f t="array" ref="BT81">_xlfn.STDEV.P(IF($E$5:$E$30=$E80,BT$5:BT$30))</f>
        <v>#DIV/0!</v>
      </c>
      <c r="BU81" s="74" t="e">
        <f t="array" ref="BU81">_xlfn.STDEV.P(IF($E$5:$E$30=$E80,BU$5:BU$30))</f>
        <v>#DIV/0!</v>
      </c>
      <c r="BV81" s="74" t="e">
        <f t="array" ref="BV81">_xlfn.STDEV.P(IF($E$5:$E$30=$E80,BV$5:BV$30))</f>
        <v>#DIV/0!</v>
      </c>
      <c r="BW81" s="74" t="e">
        <f t="array" ref="BW81">_xlfn.STDEV.P(IF($E$5:$E$30=$E80,BW$5:BW$30))</f>
        <v>#DIV/0!</v>
      </c>
      <c r="BX81" s="74" t="e">
        <f t="array" ref="BX81">_xlfn.STDEV.P(IF($E$5:$E$30=$E80,BX$5:BX$30))</f>
        <v>#DIV/0!</v>
      </c>
      <c r="BY81" s="74" t="e">
        <f t="array" ref="BY81">_xlfn.STDEV.P(IF($E$5:$E$30=$E80,BY$5:BY$30))</f>
        <v>#DIV/0!</v>
      </c>
      <c r="BZ81" s="74" t="e">
        <f t="array" ref="BZ81">_xlfn.STDEV.P(IF($E$5:$E$30=$E80,BZ$5:BZ$30))</f>
        <v>#DIV/0!</v>
      </c>
      <c r="CA81" s="74" t="e">
        <f t="array" ref="CA81">_xlfn.STDEV.P(IF($E$5:$E$30=$E80,CA$5:CA$30))</f>
        <v>#DIV/0!</v>
      </c>
      <c r="CB81" s="74" t="e">
        <f t="array" ref="CB81">_xlfn.STDEV.P(IF($E$5:$E$30=$E80,CB$5:CB$30))</f>
        <v>#DIV/0!</v>
      </c>
      <c r="CC81" s="74" t="e">
        <f t="array" ref="CC81">_xlfn.STDEV.P(IF($E$5:$E$30=$E80,CC$5:CC$30))</f>
        <v>#DIV/0!</v>
      </c>
      <c r="CD81" s="74" t="e">
        <f t="array" ref="CD81">_xlfn.STDEV.P(IF($E$5:$E$30=$E80,CD$5:CD$30))</f>
        <v>#DIV/0!</v>
      </c>
      <c r="CE81" s="74" t="e">
        <f t="array" ref="CE81">_xlfn.STDEV.P(IF($E$5:$E$30=$E80,CE$5:CE$30))</f>
        <v>#DIV/0!</v>
      </c>
      <c r="CF81" s="74" t="e">
        <f t="array" ref="CF81">_xlfn.STDEV.P(IF($E$5:$E$30=$E80,CF$5:CF$30))</f>
        <v>#DIV/0!</v>
      </c>
      <c r="CG81" s="74" t="e">
        <f t="array" ref="CG81">_xlfn.STDEV.P(IF($E$5:$E$30=$E80,CG$5:CG$30))</f>
        <v>#DIV/0!</v>
      </c>
      <c r="CH81" s="74" t="e">
        <f t="array" ref="CH81">_xlfn.STDEV.P(IF($E$5:$E$30=$E80,CH$5:CH$30))</f>
        <v>#DIV/0!</v>
      </c>
      <c r="CI81" s="74" t="e">
        <f t="array" ref="CI81">_xlfn.STDEV.P(IF($E$5:$E$30=$E80,CI$5:CI$30))</f>
        <v>#DIV/0!</v>
      </c>
      <c r="CJ81" s="74" t="e">
        <f t="array" ref="CJ81">_xlfn.STDEV.P(IF($E$5:$E$30=$E80,CJ$5:CJ$30))</f>
        <v>#DIV/0!</v>
      </c>
      <c r="CK81" s="74" t="e">
        <f t="array" ref="CK81">_xlfn.STDEV.P(IF($E$5:$E$30=$E80,CK$5:CK$30))</f>
        <v>#DIV/0!</v>
      </c>
      <c r="CL81" s="74" t="e">
        <f t="array" ref="CL81">_xlfn.STDEV.P(IF($E$5:$E$30=$E80,CL$5:CL$30))</f>
        <v>#DIV/0!</v>
      </c>
      <c r="CM81" s="74" t="e">
        <f t="array" ref="CM81">_xlfn.STDEV.P(IF($E$5:$E$30=$E80,CM$5:CM$30))</f>
        <v>#DIV/0!</v>
      </c>
      <c r="CN81" s="74" t="e">
        <f t="array" ref="CN81">_xlfn.STDEV.P(IF($E$5:$E$30=$E80,CN$5:CN$30))</f>
        <v>#DIV/0!</v>
      </c>
      <c r="CO81" s="74" t="e">
        <f t="array" ref="CO81">_xlfn.STDEV.P(IF($E$5:$E$30=$E80,CO$5:CO$30))</f>
        <v>#DIV/0!</v>
      </c>
      <c r="CP81" s="74" t="e">
        <f t="array" ref="CP81">_xlfn.STDEV.P(IF($E$5:$E$30=$E80,CP$5:CP$30))</f>
        <v>#DIV/0!</v>
      </c>
      <c r="CQ81" s="74" t="e">
        <f t="array" ref="CQ81">_xlfn.STDEV.P(IF($E$5:$E$30=$E80,CQ$5:CQ$30))</f>
        <v>#DIV/0!</v>
      </c>
      <c r="CR81" s="74" t="e">
        <f t="array" ref="CR81">_xlfn.STDEV.P(IF($E$5:$E$30=$E80,CR$5:CR$30))</f>
        <v>#DIV/0!</v>
      </c>
      <c r="CS81" s="74" t="e">
        <f t="array" ref="CS81">_xlfn.STDEV.P(IF($E$5:$E$30=$E80,CS$5:CS$30))</f>
        <v>#DIV/0!</v>
      </c>
      <c r="CT81" s="74" t="e">
        <f t="array" ref="CT81">_xlfn.STDEV.P(IF($E$5:$E$30=$E80,CT$5:CT$30))</f>
        <v>#DIV/0!</v>
      </c>
      <c r="CU81" s="74" t="e">
        <f t="array" ref="CU81">_xlfn.STDEV.P(IF($E$5:$E$30=$E80,CU$5:CU$30))</f>
        <v>#DIV/0!</v>
      </c>
      <c r="CV81" s="74" t="e">
        <f t="array" ref="CV81">_xlfn.STDEV.P(IF($E$5:$E$30=$E80,CV$5:CV$30))</f>
        <v>#DIV/0!</v>
      </c>
      <c r="CW81" s="74" t="e">
        <f t="array" ref="CW81">_xlfn.STDEV.P(IF($E$5:$E$30=$E80,CW$5:CW$30))</f>
        <v>#DIV/0!</v>
      </c>
      <c r="CX81" s="74" t="e">
        <f t="array" ref="CX81">_xlfn.STDEV.P(IF($E$5:$E$30=$E80,CX$5:CX$30))</f>
        <v>#DIV/0!</v>
      </c>
      <c r="CY81" s="74" t="e">
        <f t="array" ref="CY81">_xlfn.STDEV.P(IF($E$5:$E$30=$E80,CY$5:CY$30))</f>
        <v>#DIV/0!</v>
      </c>
      <c r="CZ81" s="74" t="e">
        <f t="array" ref="CZ81">_xlfn.STDEV.P(IF($E$5:$E$30=$E80,CZ$5:CZ$30))</f>
        <v>#DIV/0!</v>
      </c>
      <c r="DA81" s="74" t="e">
        <f t="array" ref="DA81">_xlfn.STDEV.P(IF($E$5:$E$30=$E80,DA$5:DA$30))</f>
        <v>#DIV/0!</v>
      </c>
      <c r="DB81" s="74" t="e">
        <f t="array" ref="DB81">_xlfn.STDEV.P(IF($E$5:$E$30=$E80,DB$5:DB$30))</f>
        <v>#DIV/0!</v>
      </c>
      <c r="DC81" s="74" t="e">
        <f t="array" ref="DC81">_xlfn.STDEV.P(IF($E$5:$E$30=$E80,DC$5:DC$30))</f>
        <v>#DIV/0!</v>
      </c>
      <c r="DD81" s="74" t="e">
        <f t="array" ref="DD81">_xlfn.STDEV.P(IF($E$5:$E$30=$E80,DD$5:DD$30))</f>
        <v>#DIV/0!</v>
      </c>
      <c r="DE81" s="74" t="e">
        <f t="array" ref="DE81">_xlfn.STDEV.P(IF($E$5:$E$30=$E80,DE$5:DE$30))</f>
        <v>#DIV/0!</v>
      </c>
      <c r="DF81" s="74" t="e">
        <f t="array" ref="DF81">_xlfn.STDEV.P(IF($E$5:$E$30=$E80,DF$5:DF$30))</f>
        <v>#DIV/0!</v>
      </c>
      <c r="DG81" s="74" t="e">
        <f t="array" ref="DG81">_xlfn.STDEV.P(IF($E$5:$E$30=$E80,DG$5:DG$30))</f>
        <v>#DIV/0!</v>
      </c>
      <c r="DH81" s="74" t="e">
        <f t="array" ref="DH81">_xlfn.STDEV.P(IF($E$5:$E$30=$E80,DH$5:DH$30))</f>
        <v>#DIV/0!</v>
      </c>
      <c r="DI81" s="74" t="e">
        <f t="array" ref="DI81">_xlfn.STDEV.P(IF($E$5:$E$30=$E80,DI$5:DI$30))</f>
        <v>#DIV/0!</v>
      </c>
      <c r="DJ81" s="74" t="e">
        <f t="array" ref="DJ81">_xlfn.STDEV.P(IF($E$5:$E$30=$E80,DJ$5:DJ$30))</f>
        <v>#DIV/0!</v>
      </c>
      <c r="DK81" s="74" t="e">
        <f t="array" ref="DK81">_xlfn.STDEV.P(IF($E$5:$E$30=$E80,DK$5:DK$30))</f>
        <v>#DIV/0!</v>
      </c>
    </row>
    <row r="82" spans="1:115">
      <c r="K82" s="57"/>
      <c r="L82" s="57"/>
      <c r="P82" s="57"/>
      <c r="Q82" s="57"/>
      <c r="R82" s="57"/>
      <c r="S82" s="243"/>
      <c r="T82" s="243"/>
      <c r="U82" s="57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DF82" s="44"/>
      <c r="DG82" s="44"/>
      <c r="DH82" s="44"/>
      <c r="DI82" s="44"/>
      <c r="DJ82" s="44"/>
      <c r="DK82" s="44"/>
    </row>
    <row r="83" spans="1:115" ht="14.25" customHeight="1">
      <c r="A83" s="113"/>
      <c r="E83" s="118" t="str">
        <f>'FIG6 Groups'!C20</f>
        <v>Group 15</v>
      </c>
      <c r="I83" s="118" t="str">
        <f>E83</f>
        <v>Group 15</v>
      </c>
      <c r="J83" s="107" t="e">
        <f>AVERAGEIF($E$5:$E$30,$E83,J$5:J$30)</f>
        <v>#DIV/0!</v>
      </c>
      <c r="K83" s="107"/>
      <c r="L83" s="107"/>
      <c r="M83" s="107" t="e">
        <f>AVERAGEIF($E$5:$E$30,$E83,M$5:M$30)</f>
        <v>#DIV/0!</v>
      </c>
      <c r="N83" s="107" t="e">
        <f>AVERAGEIF($E$5:$E$30,$E83,N$5:N$30)</f>
        <v>#DIV/0!</v>
      </c>
      <c r="O83" s="107" t="e">
        <f>AVERAGEIF($E$5:$E$30,$E83,O$5:O$30)</f>
        <v>#DIV/0!</v>
      </c>
      <c r="P83" s="107" t="e">
        <f>AVERAGEIF($E$5:$E$30,$E83,P$5:P$30)</f>
        <v>#DIV/0!</v>
      </c>
      <c r="Q83" s="107" t="e">
        <f>AVERAGEIF($E$5:$E$30,$E83,Q$5:Q$30)</f>
        <v>#DIV/0!</v>
      </c>
      <c r="R83" s="107" t="e">
        <f>AVERAGEIF($E$5:$E$30,$E83,R$5:R$30)</f>
        <v>#DIV/0!</v>
      </c>
      <c r="S83" s="244"/>
      <c r="T83" s="244" t="e">
        <f>AVERAGEIF($E$5:$E$30,$E83,T$5:T$30)</f>
        <v>#DIV/0!</v>
      </c>
      <c r="U83" s="107" t="e">
        <f>AVERAGEIF($E$5:$E$30,$E83,U$5:U$30)</f>
        <v>#DIV/0!</v>
      </c>
      <c r="V83" s="72" t="s">
        <v>9</v>
      </c>
      <c r="W83" s="78" t="e">
        <f>AVERAGEIF($E$5:$E$30,$E83,W$5:W$30)</f>
        <v>#DIV/0!</v>
      </c>
      <c r="X83" s="78" t="e">
        <f>AVERAGEIF($E$5:$E$30,$E83,X$5:X$30)</f>
        <v>#DIV/0!</v>
      </c>
      <c r="Y83" s="78" t="e">
        <f>AVERAGEIF($E$5:$E$30,$E83,Y$5:Y$30)</f>
        <v>#DIV/0!</v>
      </c>
      <c r="Z83" s="78" t="e">
        <f>AVERAGEIF($E$5:$E$30,$E83,Z$5:Z$30)</f>
        <v>#DIV/0!</v>
      </c>
      <c r="AA83" s="78" t="e">
        <f>AVERAGEIF($E$5:$E$30,$E83,AA$5:AA$30)</f>
        <v>#DIV/0!</v>
      </c>
      <c r="AB83" s="78" t="e">
        <f>AVERAGEIF($E$5:$E$30,$E83,AB$5:AB$30)</f>
        <v>#DIV/0!</v>
      </c>
      <c r="AC83" s="78" t="e">
        <f>AVERAGEIF($E$5:$E$30,$E83,AC$5:AC$30)</f>
        <v>#DIV/0!</v>
      </c>
      <c r="AD83" s="78" t="e">
        <f>AVERAGEIF($E$5:$E$30,$E83,AD$5:AD$30)</f>
        <v>#DIV/0!</v>
      </c>
      <c r="AE83" s="78" t="e">
        <f>AVERAGEIF($E$5:$E$30,$E83,AE$5:AE$30)</f>
        <v>#DIV/0!</v>
      </c>
      <c r="AF83" s="78" t="e">
        <f>AVERAGEIF($E$5:$E$30,$E83,AF$5:AF$30)</f>
        <v>#DIV/0!</v>
      </c>
      <c r="AG83" s="78" t="e">
        <f>AVERAGEIF($E$5:$E$30,$E83,AG$5:AG$30)</f>
        <v>#DIV/0!</v>
      </c>
      <c r="AH83" s="78" t="e">
        <f>AVERAGEIF($E$5:$E$30,$E83,AH$5:AH$30)</f>
        <v>#DIV/0!</v>
      </c>
      <c r="AI83" s="78" t="e">
        <f>AVERAGEIF($E$5:$E$30,$E83,AI$5:AI$30)</f>
        <v>#DIV/0!</v>
      </c>
      <c r="AJ83" s="78" t="e">
        <f>AVERAGEIF($E$5:$E$30,$E83,AJ$5:AJ$30)</f>
        <v>#DIV/0!</v>
      </c>
      <c r="AK83" s="78" t="e">
        <f>AVERAGEIF($E$5:$E$30,$E83,AK$5:AK$30)</f>
        <v>#DIV/0!</v>
      </c>
      <c r="AL83" s="78" t="e">
        <f>AVERAGEIF($E$5:$E$30,$E83,AL$5:AL$30)</f>
        <v>#DIV/0!</v>
      </c>
      <c r="AM83" s="78" t="e">
        <f>AVERAGEIF($E$5:$E$30,$E83,AM$5:AM$30)</f>
        <v>#DIV/0!</v>
      </c>
      <c r="AN83" s="78" t="e">
        <f>AVERAGEIF($E$5:$E$30,$E83,AN$5:AN$30)</f>
        <v>#DIV/0!</v>
      </c>
      <c r="AO83" s="78" t="e">
        <f>AVERAGEIF($E$5:$E$30,$E83,AO$5:AO$30)</f>
        <v>#DIV/0!</v>
      </c>
      <c r="AP83" s="78" t="e">
        <f>AVERAGEIF($E$5:$E$30,$E83,AP$5:AP$30)</f>
        <v>#DIV/0!</v>
      </c>
      <c r="AQ83" s="78" t="e">
        <f>AVERAGEIF($E$5:$E$30,$E83,AQ$5:AQ$30)</f>
        <v>#DIV/0!</v>
      </c>
      <c r="AR83" s="78" t="e">
        <f>AVERAGEIF($E$5:$E$30,$E83,AR$5:AR$30)</f>
        <v>#DIV/0!</v>
      </c>
      <c r="AS83" s="78" t="e">
        <f>AVERAGEIF($E$5:$E$30,$E83,AS$5:AS$30)</f>
        <v>#DIV/0!</v>
      </c>
      <c r="AT83" s="78" t="e">
        <f>AVERAGEIF($E$5:$E$30,$E83,AT$5:AT$30)</f>
        <v>#DIV/0!</v>
      </c>
      <c r="AU83" s="78" t="e">
        <f>AVERAGEIF($E$5:$E$30,$E83,AU$5:AU$30)</f>
        <v>#DIV/0!</v>
      </c>
      <c r="AV83" s="78" t="e">
        <f>AVERAGEIF($E$5:$E$30,$E83,AV$5:AV$30)</f>
        <v>#DIV/0!</v>
      </c>
      <c r="AW83" s="78" t="e">
        <f>AVERAGEIF($E$5:$E$30,$E83,AW$5:AW$30)</f>
        <v>#DIV/0!</v>
      </c>
      <c r="AX83" s="78" t="e">
        <f>AVERAGEIF($E$5:$E$30,$E83,AX$5:AX$30)</f>
        <v>#DIV/0!</v>
      </c>
      <c r="AY83" s="78" t="e">
        <f>AVERAGEIF($E$5:$E$30,$E83,AY$5:AY$30)</f>
        <v>#DIV/0!</v>
      </c>
      <c r="AZ83" s="78" t="e">
        <f>AVERAGEIF($E$5:$E$30,$E83,AZ$5:AZ$30)</f>
        <v>#DIV/0!</v>
      </c>
      <c r="BA83" s="78" t="e">
        <f>AVERAGEIF($E$5:$E$30,$E83,BA$5:BA$30)</f>
        <v>#DIV/0!</v>
      </c>
      <c r="BB83" s="78" t="e">
        <f>AVERAGEIF($E$5:$E$30,$E83,BB$5:BB$30)</f>
        <v>#DIV/0!</v>
      </c>
      <c r="BC83" s="78" t="e">
        <f>AVERAGEIF($E$5:$E$30,$E83,BC$5:BC$30)</f>
        <v>#DIV/0!</v>
      </c>
      <c r="BD83" s="78" t="e">
        <f>AVERAGEIF($E$5:$E$30,$E83,BD$5:BD$30)</f>
        <v>#DIV/0!</v>
      </c>
      <c r="BE83" s="78" t="e">
        <f>AVERAGEIF($E$5:$E$30,$E83,BE$5:BE$30)</f>
        <v>#DIV/0!</v>
      </c>
      <c r="BF83" s="78" t="e">
        <f>AVERAGEIF($E$5:$E$30,$E83,BF$5:BF$30)</f>
        <v>#DIV/0!</v>
      </c>
      <c r="BG83" s="78" t="e">
        <f>AVERAGEIF($E$5:$E$30,$E83,BG$5:BG$30)</f>
        <v>#DIV/0!</v>
      </c>
      <c r="BH83" s="78" t="e">
        <f>AVERAGEIF($E$5:$E$30,$E83,BH$5:BH$30)</f>
        <v>#DIV/0!</v>
      </c>
      <c r="BI83" s="78" t="e">
        <f>AVERAGEIF($E$5:$E$30,$E83,BI$5:BI$30)</f>
        <v>#DIV/0!</v>
      </c>
      <c r="BJ83" s="78" t="e">
        <f>AVERAGEIF($E$5:$E$30,$E83,BJ$5:BJ$30)</f>
        <v>#DIV/0!</v>
      </c>
      <c r="BK83" s="78" t="e">
        <f>AVERAGEIF($E$5:$E$30,$E83,BK$5:BK$30)</f>
        <v>#DIV/0!</v>
      </c>
      <c r="BL83" s="78" t="e">
        <f>AVERAGEIF($E$5:$E$30,$E83,BL$5:BL$30)</f>
        <v>#DIV/0!</v>
      </c>
      <c r="BM83" s="78" t="e">
        <f>AVERAGEIF($E$5:$E$30,$E83,BM$5:BM$30)</f>
        <v>#DIV/0!</v>
      </c>
      <c r="BN83" s="78" t="e">
        <f>AVERAGEIF($E$5:$E$30,$E83,BN$5:BN$30)</f>
        <v>#DIV/0!</v>
      </c>
      <c r="BO83" s="78" t="e">
        <f>AVERAGEIF($E$5:$E$30,$E83,BO$5:BO$30)</f>
        <v>#DIV/0!</v>
      </c>
      <c r="BP83" s="78" t="e">
        <f>AVERAGEIF($E$5:$E$30,$E83,BP$5:BP$30)</f>
        <v>#DIV/0!</v>
      </c>
      <c r="BQ83" s="103" t="s">
        <v>9</v>
      </c>
      <c r="BR83" s="73" t="e">
        <f>AVERAGEIF($E$5:$E$30,$E83,BR$5:BR$30)</f>
        <v>#DIV/0!</v>
      </c>
      <c r="BS83" s="73" t="e">
        <f>AVERAGEIF($E$5:$E$30,$E83,BS$5:BS$30)</f>
        <v>#DIV/0!</v>
      </c>
      <c r="BT83" s="73" t="e">
        <f>AVERAGEIF($E$5:$E$30,$E83,BT$5:BT$30)</f>
        <v>#DIV/0!</v>
      </c>
      <c r="BU83" s="73" t="e">
        <f>AVERAGEIF($E$5:$E$30,$E83,BU$5:BU$30)</f>
        <v>#DIV/0!</v>
      </c>
      <c r="BV83" s="73" t="e">
        <f>AVERAGEIF($E$5:$E$30,$E83,BV$5:BV$30)</f>
        <v>#DIV/0!</v>
      </c>
      <c r="BW83" s="73" t="e">
        <f>AVERAGEIF($E$5:$E$30,$E83,BW$5:BW$30)</f>
        <v>#DIV/0!</v>
      </c>
      <c r="BX83" s="73" t="e">
        <f>AVERAGEIF($E$5:$E$30,$E83,BX$5:BX$30)</f>
        <v>#DIV/0!</v>
      </c>
      <c r="BY83" s="73" t="e">
        <f>AVERAGEIF($E$5:$E$30,$E83,BY$5:BY$30)</f>
        <v>#DIV/0!</v>
      </c>
      <c r="BZ83" s="73" t="e">
        <f>AVERAGEIF($E$5:$E$30,$E83,BZ$5:BZ$30)</f>
        <v>#DIV/0!</v>
      </c>
      <c r="CA83" s="73" t="e">
        <f>AVERAGEIF($E$5:$E$30,$E83,CA$5:CA$30)</f>
        <v>#DIV/0!</v>
      </c>
      <c r="CB83" s="73" t="e">
        <f>AVERAGEIF($E$5:$E$30,$E83,CB$5:CB$30)</f>
        <v>#DIV/0!</v>
      </c>
      <c r="CC83" s="73" t="e">
        <f>AVERAGEIF($E$5:$E$30,$E83,CC$5:CC$30)</f>
        <v>#DIV/0!</v>
      </c>
      <c r="CD83" s="73" t="e">
        <f>AVERAGEIF($E$5:$E$30,$E83,CD$5:CD$30)</f>
        <v>#DIV/0!</v>
      </c>
      <c r="CE83" s="73" t="e">
        <f>AVERAGEIF($E$5:$E$30,$E83,CE$5:CE$30)</f>
        <v>#DIV/0!</v>
      </c>
      <c r="CF83" s="73" t="e">
        <f>AVERAGEIF($E$5:$E$30,$E83,CF$5:CF$30)</f>
        <v>#DIV/0!</v>
      </c>
      <c r="CG83" s="73" t="e">
        <f>AVERAGEIF($E$5:$E$30,$E83,CG$5:CG$30)</f>
        <v>#DIV/0!</v>
      </c>
      <c r="CH83" s="73" t="e">
        <f>AVERAGEIF($E$5:$E$30,$E83,CH$5:CH$30)</f>
        <v>#DIV/0!</v>
      </c>
      <c r="CI83" s="73" t="e">
        <f>AVERAGEIF($E$5:$E$30,$E83,CI$5:CI$30)</f>
        <v>#DIV/0!</v>
      </c>
      <c r="CJ83" s="73" t="e">
        <f>AVERAGEIF($E$5:$E$30,$E83,CJ$5:CJ$30)</f>
        <v>#DIV/0!</v>
      </c>
      <c r="CK83" s="73" t="e">
        <f>AVERAGEIF($E$5:$E$30,$E83,CK$5:CK$30)</f>
        <v>#DIV/0!</v>
      </c>
      <c r="CL83" s="73" t="e">
        <f>AVERAGEIF($E$5:$E$30,$E83,CL$5:CL$30)</f>
        <v>#DIV/0!</v>
      </c>
      <c r="CM83" s="73" t="e">
        <f>AVERAGEIF($E$5:$E$30,$E83,CM$5:CM$30)</f>
        <v>#DIV/0!</v>
      </c>
      <c r="CN83" s="73" t="e">
        <f>AVERAGEIF($E$5:$E$30,$E83,CN$5:CN$30)</f>
        <v>#DIV/0!</v>
      </c>
      <c r="CO83" s="73" t="e">
        <f>AVERAGEIF($E$5:$E$30,$E83,CO$5:CO$30)</f>
        <v>#DIV/0!</v>
      </c>
      <c r="CP83" s="73" t="e">
        <f>AVERAGEIF($E$5:$E$30,$E83,CP$5:CP$30)</f>
        <v>#DIV/0!</v>
      </c>
      <c r="CQ83" s="73" t="e">
        <f>AVERAGEIF($E$5:$E$30,$E83,CQ$5:CQ$30)</f>
        <v>#DIV/0!</v>
      </c>
      <c r="CR83" s="73" t="e">
        <f>AVERAGEIF($E$5:$E$30,$E83,CR$5:CR$30)</f>
        <v>#DIV/0!</v>
      </c>
      <c r="CS83" s="73" t="e">
        <f>AVERAGEIF($E$5:$E$30,$E83,CS$5:CS$30)</f>
        <v>#DIV/0!</v>
      </c>
      <c r="CT83" s="73" t="e">
        <f>AVERAGEIF($E$5:$E$30,$E83,CT$5:CT$30)</f>
        <v>#DIV/0!</v>
      </c>
      <c r="CU83" s="73" t="e">
        <f>AVERAGEIF($E$5:$E$30,$E83,CU$5:CU$30)</f>
        <v>#DIV/0!</v>
      </c>
      <c r="CV83" s="73" t="e">
        <f>AVERAGEIF($E$5:$E$30,$E83,CV$5:CV$30)</f>
        <v>#DIV/0!</v>
      </c>
      <c r="CW83" s="73" t="e">
        <f>AVERAGEIF($E$5:$E$30,$E83,CW$5:CW$30)</f>
        <v>#DIV/0!</v>
      </c>
      <c r="CX83" s="73" t="e">
        <f>AVERAGEIF($E$5:$E$30,$E83,CX$5:CX$30)</f>
        <v>#DIV/0!</v>
      </c>
      <c r="CY83" s="73" t="e">
        <f>AVERAGEIF($E$5:$E$30,$E83,CY$5:CY$30)</f>
        <v>#DIV/0!</v>
      </c>
      <c r="CZ83" s="73" t="e">
        <f>AVERAGEIF($E$5:$E$30,$E83,CZ$5:CZ$30)</f>
        <v>#DIV/0!</v>
      </c>
      <c r="DA83" s="73" t="e">
        <f>AVERAGEIF($E$5:$E$30,$E83,DA$5:DA$30)</f>
        <v>#DIV/0!</v>
      </c>
      <c r="DB83" s="73" t="e">
        <f>AVERAGEIF($E$5:$E$30,$E83,DB$5:DB$30)</f>
        <v>#DIV/0!</v>
      </c>
      <c r="DC83" s="73" t="e">
        <f>AVERAGEIF($E$5:$E$30,$E83,DC$5:DC$30)</f>
        <v>#DIV/0!</v>
      </c>
      <c r="DD83" s="73" t="e">
        <f>AVERAGEIF($E$5:$E$30,$E83,DD$5:DD$30)</f>
        <v>#DIV/0!</v>
      </c>
      <c r="DE83" s="73" t="e">
        <f>AVERAGEIF($E$5:$E$30,$E83,DE$5:DE$30)</f>
        <v>#DIV/0!</v>
      </c>
      <c r="DF83" s="73" t="e">
        <f>AVERAGEIF($E$5:$E$30,$E83,DF$5:DF$30)</f>
        <v>#DIV/0!</v>
      </c>
      <c r="DG83" s="73" t="e">
        <f>AVERAGEIF($E$5:$E$30,$E83,DG$5:DG$30)</f>
        <v>#DIV/0!</v>
      </c>
      <c r="DH83" s="73" t="e">
        <f>AVERAGEIF($E$5:$E$30,$E83,DH$5:DH$30)</f>
        <v>#DIV/0!</v>
      </c>
      <c r="DI83" s="73" t="e">
        <f>AVERAGEIF($E$5:$E$30,$E83,DI$5:DI$30)</f>
        <v>#DIV/0!</v>
      </c>
      <c r="DJ83" s="73" t="e">
        <f>AVERAGEIF($E$5:$E$30,$E83,DJ$5:DJ$30)</f>
        <v>#DIV/0!</v>
      </c>
      <c r="DK83" s="73" t="e">
        <f>AVERAGEIF($E$5:$E$30,$E83,DK$5:DK$30)</f>
        <v>#DIV/0!</v>
      </c>
    </row>
    <row r="84" spans="1:115" ht="14.25" customHeight="1">
      <c r="A84" s="113"/>
      <c r="E84" s="93"/>
      <c r="I84" s="93"/>
      <c r="J84" s="107" t="e">
        <f t="array" ref="J84">_xlfn.STDEV.P(IF($E$5:$E$30=$E83,J$5:J$30))</f>
        <v>#DIV/0!</v>
      </c>
      <c r="K84" s="107"/>
      <c r="L84" s="107"/>
      <c r="M84" s="107" t="e">
        <f t="array" ref="M84">_xlfn.STDEV.P(IF($E$5:$E$30=$E83,M$5:M$30))</f>
        <v>#DIV/0!</v>
      </c>
      <c r="N84" s="107" t="e">
        <f t="array" ref="N84">_xlfn.STDEV.P(IF($E$5:$E$30=$E83,N$5:N$30))</f>
        <v>#DIV/0!</v>
      </c>
      <c r="O84" s="107" t="e">
        <f t="array" ref="O84">_xlfn.STDEV.P(IF($E$5:$E$30=$E83,O$5:O$30))</f>
        <v>#DIV/0!</v>
      </c>
      <c r="P84" s="107" t="e">
        <f t="array" ref="P84">_xlfn.STDEV.P(IF($E$5:$E$30=$E83,P$5:P$30))</f>
        <v>#DIV/0!</v>
      </c>
      <c r="Q84" s="107" t="e">
        <f t="array" ref="Q84">_xlfn.STDEV.P(IF($E$5:$E$30=$E83,Q$5:Q$30))</f>
        <v>#DIV/0!</v>
      </c>
      <c r="R84" s="107" t="e">
        <f t="array" ref="R84">_xlfn.STDEV.P(IF($E$5:$E$30=$E83,R$5:R$30))</f>
        <v>#DIV/0!</v>
      </c>
      <c r="S84" s="244"/>
      <c r="T84" s="244" t="e">
        <f t="array" ref="T84">_xlfn.STDEV.P(IF($E$5:$E$30=$E83,T$5:T$30))</f>
        <v>#DIV/0!</v>
      </c>
      <c r="U84" s="107" t="e">
        <f t="array" ref="U84">_xlfn.STDEV.P(IF($E$5:$E$30=$E83,U$5:U$30))</f>
        <v>#DIV/0!</v>
      </c>
      <c r="V84" s="72" t="s">
        <v>11</v>
      </c>
      <c r="W84" s="81" t="e">
        <f t="array" ref="W84">_xlfn.STDEV.P(IF($E$5:$E$30=$E83,W$5:W$30))</f>
        <v>#DIV/0!</v>
      </c>
      <c r="X84" s="81" t="e">
        <f t="array" ref="X84">_xlfn.STDEV.P(IF($E$5:$E$30=$E83,X$5:X$30))</f>
        <v>#DIV/0!</v>
      </c>
      <c r="Y84" s="81" t="e">
        <f t="array" ref="Y84">_xlfn.STDEV.P(IF($E$5:$E$30=$E83,Y$5:Y$30))</f>
        <v>#DIV/0!</v>
      </c>
      <c r="Z84" s="81" t="e">
        <f t="array" ref="Z84">_xlfn.STDEV.P(IF($E$5:$E$30=$E83,Z$5:Z$30))</f>
        <v>#DIV/0!</v>
      </c>
      <c r="AA84" s="81" t="e">
        <f t="array" ref="AA84">_xlfn.STDEV.P(IF($E$5:$E$30=$E83,AA$5:AA$30))</f>
        <v>#DIV/0!</v>
      </c>
      <c r="AB84" s="81" t="e">
        <f t="array" ref="AB84">_xlfn.STDEV.P(IF($E$5:$E$30=$E83,AB$5:AB$30))</f>
        <v>#DIV/0!</v>
      </c>
      <c r="AC84" s="81" t="e">
        <f t="array" ref="AC84">_xlfn.STDEV.P(IF($E$5:$E$30=$E83,AC$5:AC$30))</f>
        <v>#DIV/0!</v>
      </c>
      <c r="AD84" s="81" t="e">
        <f t="array" ref="AD84">_xlfn.STDEV.P(IF($E$5:$E$30=$E83,AD$5:AD$30))</f>
        <v>#DIV/0!</v>
      </c>
      <c r="AE84" s="81" t="e">
        <f t="array" ref="AE84">_xlfn.STDEV.P(IF($E$5:$E$30=$E83,AE$5:AE$30))</f>
        <v>#DIV/0!</v>
      </c>
      <c r="AF84" s="81" t="e">
        <f t="array" ref="AF84">_xlfn.STDEV.P(IF($E$5:$E$30=$E83,AF$5:AF$30))</f>
        <v>#DIV/0!</v>
      </c>
      <c r="AG84" s="81" t="e">
        <f t="array" ref="AG84">_xlfn.STDEV.P(IF($E$5:$E$30=$E83,AG$5:AG$30))</f>
        <v>#DIV/0!</v>
      </c>
      <c r="AH84" s="81" t="e">
        <f t="array" ref="AH84">_xlfn.STDEV.P(IF($E$5:$E$30=$E83,AH$5:AH$30))</f>
        <v>#DIV/0!</v>
      </c>
      <c r="AI84" s="81" t="e">
        <f t="array" ref="AI84">_xlfn.STDEV.P(IF($E$5:$E$30=$E83,AI$5:AI$30))</f>
        <v>#DIV/0!</v>
      </c>
      <c r="AJ84" s="81" t="e">
        <f t="array" ref="AJ84">_xlfn.STDEV.P(IF($E$5:$E$30=$E83,AJ$5:AJ$30))</f>
        <v>#DIV/0!</v>
      </c>
      <c r="AK84" s="81" t="e">
        <f t="array" ref="AK84">_xlfn.STDEV.P(IF($E$5:$E$30=$E83,AK$5:AK$30))</f>
        <v>#DIV/0!</v>
      </c>
      <c r="AL84" s="81" t="e">
        <f t="array" ref="AL84">_xlfn.STDEV.P(IF($E$5:$E$30=$E83,AL$5:AL$30))</f>
        <v>#DIV/0!</v>
      </c>
      <c r="AM84" s="81" t="e">
        <f t="array" ref="AM84">_xlfn.STDEV.P(IF($E$5:$E$30=$E83,AM$5:AM$30))</f>
        <v>#DIV/0!</v>
      </c>
      <c r="AN84" s="81" t="e">
        <f t="array" ref="AN84">_xlfn.STDEV.P(IF($E$5:$E$30=$E83,AN$5:AN$30))</f>
        <v>#DIV/0!</v>
      </c>
      <c r="AO84" s="81" t="e">
        <f t="array" ref="AO84">_xlfn.STDEV.P(IF($E$5:$E$30=$E83,AO$5:AO$30))</f>
        <v>#DIV/0!</v>
      </c>
      <c r="AP84" s="81" t="e">
        <f t="array" ref="AP84">_xlfn.STDEV.P(IF($E$5:$E$30=$E83,AP$5:AP$30))</f>
        <v>#DIV/0!</v>
      </c>
      <c r="AQ84" s="81" t="e">
        <f t="array" ref="AQ84">_xlfn.STDEV.P(IF($E$5:$E$30=$E83,AQ$5:AQ$30))</f>
        <v>#DIV/0!</v>
      </c>
      <c r="AR84" s="81" t="e">
        <f t="array" ref="AR84">_xlfn.STDEV.P(IF($E$5:$E$30=$E83,AR$5:AR$30))</f>
        <v>#DIV/0!</v>
      </c>
      <c r="AS84" s="81" t="e">
        <f t="array" ref="AS84">_xlfn.STDEV.P(IF($E$5:$E$30=$E83,AS$5:AS$30))</f>
        <v>#DIV/0!</v>
      </c>
      <c r="AT84" s="81" t="e">
        <f t="array" ref="AT84">_xlfn.STDEV.P(IF($E$5:$E$30=$E83,AT$5:AT$30))</f>
        <v>#DIV/0!</v>
      </c>
      <c r="AU84" s="81" t="e">
        <f t="array" ref="AU84">_xlfn.STDEV.P(IF($E$5:$E$30=$E83,AU$5:AU$30))</f>
        <v>#DIV/0!</v>
      </c>
      <c r="AV84" s="81" t="e">
        <f t="array" ref="AV84">_xlfn.STDEV.P(IF($E$5:$E$30=$E83,AV$5:AV$30))</f>
        <v>#DIV/0!</v>
      </c>
      <c r="AW84" s="81" t="e">
        <f t="array" ref="AW84">_xlfn.STDEV.P(IF($E$5:$E$30=$E83,AW$5:AW$30))</f>
        <v>#DIV/0!</v>
      </c>
      <c r="AX84" s="81" t="e">
        <f t="array" ref="AX84">_xlfn.STDEV.P(IF($E$5:$E$30=$E83,AX$5:AX$30))</f>
        <v>#DIV/0!</v>
      </c>
      <c r="AY84" s="81" t="e">
        <f t="array" ref="AY84">_xlfn.STDEV.P(IF($E$5:$E$30=$E83,AY$5:AY$30))</f>
        <v>#DIV/0!</v>
      </c>
      <c r="AZ84" s="81" t="e">
        <f t="array" ref="AZ84">_xlfn.STDEV.P(IF($E$5:$E$30=$E83,AZ$5:AZ$30))</f>
        <v>#DIV/0!</v>
      </c>
      <c r="BA84" s="81" t="e">
        <f t="array" ref="BA84">_xlfn.STDEV.P(IF($E$5:$E$30=$E83,BA$5:BA$30))</f>
        <v>#DIV/0!</v>
      </c>
      <c r="BB84" s="81" t="e">
        <f t="array" ref="BB84">_xlfn.STDEV.P(IF($E$5:$E$30=$E83,BB$5:BB$30))</f>
        <v>#DIV/0!</v>
      </c>
      <c r="BC84" s="81" t="e">
        <f t="array" ref="BC84">_xlfn.STDEV.P(IF($E$5:$E$30=$E83,BC$5:BC$30))</f>
        <v>#DIV/0!</v>
      </c>
      <c r="BD84" s="81" t="e">
        <f t="array" ref="BD84">_xlfn.STDEV.P(IF($E$5:$E$30=$E83,BD$5:BD$30))</f>
        <v>#DIV/0!</v>
      </c>
      <c r="BE84" s="81" t="e">
        <f t="array" ref="BE84">_xlfn.STDEV.P(IF($E$5:$E$30=$E83,BE$5:BE$30))</f>
        <v>#DIV/0!</v>
      </c>
      <c r="BF84" s="81" t="e">
        <f t="array" ref="BF84">_xlfn.STDEV.P(IF($E$5:$E$30=$E83,BF$5:BF$30))</f>
        <v>#DIV/0!</v>
      </c>
      <c r="BG84" s="81" t="e">
        <f t="array" ref="BG84">_xlfn.STDEV.P(IF($E$5:$E$30=$E83,BG$5:BG$30))</f>
        <v>#DIV/0!</v>
      </c>
      <c r="BH84" s="81" t="e">
        <f t="array" ref="BH84">_xlfn.STDEV.P(IF($E$5:$E$30=$E83,BH$5:BH$30))</f>
        <v>#DIV/0!</v>
      </c>
      <c r="BI84" s="81" t="e">
        <f t="array" ref="BI84">_xlfn.STDEV.P(IF($E$5:$E$30=$E83,BI$5:BI$30))</f>
        <v>#DIV/0!</v>
      </c>
      <c r="BJ84" s="81" t="e">
        <f t="array" ref="BJ84">_xlfn.STDEV.P(IF($E$5:$E$30=$E83,BJ$5:BJ$30))</f>
        <v>#DIV/0!</v>
      </c>
      <c r="BK84" s="81" t="e">
        <f t="array" ref="BK84">_xlfn.STDEV.P(IF($E$5:$E$30=$E83,BK$5:BK$30))</f>
        <v>#DIV/0!</v>
      </c>
      <c r="BL84" s="81" t="e">
        <f t="array" ref="BL84">_xlfn.STDEV.P(IF($E$5:$E$30=$E83,BL$5:BL$30))</f>
        <v>#DIV/0!</v>
      </c>
      <c r="BM84" s="81" t="e">
        <f t="array" ref="BM84">_xlfn.STDEV.P(IF($E$5:$E$30=$E83,BM$5:BM$30))</f>
        <v>#DIV/0!</v>
      </c>
      <c r="BN84" s="81" t="e">
        <f t="array" ref="BN84">_xlfn.STDEV.P(IF($E$5:$E$30=$E83,BN$5:BN$30))</f>
        <v>#DIV/0!</v>
      </c>
      <c r="BO84" s="81" t="e">
        <f t="array" ref="BO84">_xlfn.STDEV.P(IF($E$5:$E$30=$E83,BO$5:BO$30))</f>
        <v>#DIV/0!</v>
      </c>
      <c r="BP84" s="81" t="e">
        <f t="array" ref="BP84">_xlfn.STDEV.P(IF($E$5:$E$30=$E83,BP$5:BP$30))</f>
        <v>#DIV/0!</v>
      </c>
      <c r="BQ84" s="104" t="s">
        <v>11</v>
      </c>
      <c r="BR84" s="74" t="e">
        <f t="array" ref="BR84">_xlfn.STDEV.P(IF($E$5:$E$30=$E83,BR$5:BR$30))</f>
        <v>#DIV/0!</v>
      </c>
      <c r="BS84" s="74" t="e">
        <f t="array" ref="BS84">_xlfn.STDEV.P(IF($E$5:$E$30=$E83,BS$5:BS$30))</f>
        <v>#DIV/0!</v>
      </c>
      <c r="BT84" s="74" t="e">
        <f t="array" ref="BT84">_xlfn.STDEV.P(IF($E$5:$E$30=$E83,BT$5:BT$30))</f>
        <v>#DIV/0!</v>
      </c>
      <c r="BU84" s="74" t="e">
        <f t="array" ref="BU84">_xlfn.STDEV.P(IF($E$5:$E$30=$E83,BU$5:BU$30))</f>
        <v>#DIV/0!</v>
      </c>
      <c r="BV84" s="74" t="e">
        <f t="array" ref="BV84">_xlfn.STDEV.P(IF($E$5:$E$30=$E83,BV$5:BV$30))</f>
        <v>#DIV/0!</v>
      </c>
      <c r="BW84" s="74" t="e">
        <f t="array" ref="BW84">_xlfn.STDEV.P(IF($E$5:$E$30=$E83,BW$5:BW$30))</f>
        <v>#DIV/0!</v>
      </c>
      <c r="BX84" s="74" t="e">
        <f t="array" ref="BX84">_xlfn.STDEV.P(IF($E$5:$E$30=$E83,BX$5:BX$30))</f>
        <v>#DIV/0!</v>
      </c>
      <c r="BY84" s="74" t="e">
        <f t="array" ref="BY84">_xlfn.STDEV.P(IF($E$5:$E$30=$E83,BY$5:BY$30))</f>
        <v>#DIV/0!</v>
      </c>
      <c r="BZ84" s="74" t="e">
        <f t="array" ref="BZ84">_xlfn.STDEV.P(IF($E$5:$E$30=$E83,BZ$5:BZ$30))</f>
        <v>#DIV/0!</v>
      </c>
      <c r="CA84" s="74" t="e">
        <f t="array" ref="CA84">_xlfn.STDEV.P(IF($E$5:$E$30=$E83,CA$5:CA$30))</f>
        <v>#DIV/0!</v>
      </c>
      <c r="CB84" s="74" t="e">
        <f t="array" ref="CB84">_xlfn.STDEV.P(IF($E$5:$E$30=$E83,CB$5:CB$30))</f>
        <v>#DIV/0!</v>
      </c>
      <c r="CC84" s="74" t="e">
        <f t="array" ref="CC84">_xlfn.STDEV.P(IF($E$5:$E$30=$E83,CC$5:CC$30))</f>
        <v>#DIV/0!</v>
      </c>
      <c r="CD84" s="74" t="e">
        <f t="array" ref="CD84">_xlfn.STDEV.P(IF($E$5:$E$30=$E83,CD$5:CD$30))</f>
        <v>#DIV/0!</v>
      </c>
      <c r="CE84" s="74" t="e">
        <f t="array" ref="CE84">_xlfn.STDEV.P(IF($E$5:$E$30=$E83,CE$5:CE$30))</f>
        <v>#DIV/0!</v>
      </c>
      <c r="CF84" s="74" t="e">
        <f t="array" ref="CF84">_xlfn.STDEV.P(IF($E$5:$E$30=$E83,CF$5:CF$30))</f>
        <v>#DIV/0!</v>
      </c>
      <c r="CG84" s="74" t="e">
        <f t="array" ref="CG84">_xlfn.STDEV.P(IF($E$5:$E$30=$E83,CG$5:CG$30))</f>
        <v>#DIV/0!</v>
      </c>
      <c r="CH84" s="74" t="e">
        <f t="array" ref="CH84">_xlfn.STDEV.P(IF($E$5:$E$30=$E83,CH$5:CH$30))</f>
        <v>#DIV/0!</v>
      </c>
      <c r="CI84" s="74" t="e">
        <f t="array" ref="CI84">_xlfn.STDEV.P(IF($E$5:$E$30=$E83,CI$5:CI$30))</f>
        <v>#DIV/0!</v>
      </c>
      <c r="CJ84" s="74" t="e">
        <f t="array" ref="CJ84">_xlfn.STDEV.P(IF($E$5:$E$30=$E83,CJ$5:CJ$30))</f>
        <v>#DIV/0!</v>
      </c>
      <c r="CK84" s="74" t="e">
        <f t="array" ref="CK84">_xlfn.STDEV.P(IF($E$5:$E$30=$E83,CK$5:CK$30))</f>
        <v>#DIV/0!</v>
      </c>
      <c r="CL84" s="74" t="e">
        <f t="array" ref="CL84">_xlfn.STDEV.P(IF($E$5:$E$30=$E83,CL$5:CL$30))</f>
        <v>#DIV/0!</v>
      </c>
      <c r="CM84" s="74" t="e">
        <f t="array" ref="CM84">_xlfn.STDEV.P(IF($E$5:$E$30=$E83,CM$5:CM$30))</f>
        <v>#DIV/0!</v>
      </c>
      <c r="CN84" s="74" t="e">
        <f t="array" ref="CN84">_xlfn.STDEV.P(IF($E$5:$E$30=$E83,CN$5:CN$30))</f>
        <v>#DIV/0!</v>
      </c>
      <c r="CO84" s="74" t="e">
        <f t="array" ref="CO84">_xlfn.STDEV.P(IF($E$5:$E$30=$E83,CO$5:CO$30))</f>
        <v>#DIV/0!</v>
      </c>
      <c r="CP84" s="74" t="e">
        <f t="array" ref="CP84">_xlfn.STDEV.P(IF($E$5:$E$30=$E83,CP$5:CP$30))</f>
        <v>#DIV/0!</v>
      </c>
      <c r="CQ84" s="74" t="e">
        <f t="array" ref="CQ84">_xlfn.STDEV.P(IF($E$5:$E$30=$E83,CQ$5:CQ$30))</f>
        <v>#DIV/0!</v>
      </c>
      <c r="CR84" s="74" t="e">
        <f t="array" ref="CR84">_xlfn.STDEV.P(IF($E$5:$E$30=$E83,CR$5:CR$30))</f>
        <v>#DIV/0!</v>
      </c>
      <c r="CS84" s="74" t="e">
        <f t="array" ref="CS84">_xlfn.STDEV.P(IF($E$5:$E$30=$E83,CS$5:CS$30))</f>
        <v>#DIV/0!</v>
      </c>
      <c r="CT84" s="74" t="e">
        <f t="array" ref="CT84">_xlfn.STDEV.P(IF($E$5:$E$30=$E83,CT$5:CT$30))</f>
        <v>#DIV/0!</v>
      </c>
      <c r="CU84" s="74" t="e">
        <f t="array" ref="CU84">_xlfn.STDEV.P(IF($E$5:$E$30=$E83,CU$5:CU$30))</f>
        <v>#DIV/0!</v>
      </c>
      <c r="CV84" s="74" t="e">
        <f t="array" ref="CV84">_xlfn.STDEV.P(IF($E$5:$E$30=$E83,CV$5:CV$30))</f>
        <v>#DIV/0!</v>
      </c>
      <c r="CW84" s="74" t="e">
        <f t="array" ref="CW84">_xlfn.STDEV.P(IF($E$5:$E$30=$E83,CW$5:CW$30))</f>
        <v>#DIV/0!</v>
      </c>
      <c r="CX84" s="74" t="e">
        <f t="array" ref="CX84">_xlfn.STDEV.P(IF($E$5:$E$30=$E83,CX$5:CX$30))</f>
        <v>#DIV/0!</v>
      </c>
      <c r="CY84" s="74" t="e">
        <f t="array" ref="CY84">_xlfn.STDEV.P(IF($E$5:$E$30=$E83,CY$5:CY$30))</f>
        <v>#DIV/0!</v>
      </c>
      <c r="CZ84" s="74" t="e">
        <f t="array" ref="CZ84">_xlfn.STDEV.P(IF($E$5:$E$30=$E83,CZ$5:CZ$30))</f>
        <v>#DIV/0!</v>
      </c>
      <c r="DA84" s="74" t="e">
        <f t="array" ref="DA84">_xlfn.STDEV.P(IF($E$5:$E$30=$E83,DA$5:DA$30))</f>
        <v>#DIV/0!</v>
      </c>
      <c r="DB84" s="74" t="e">
        <f t="array" ref="DB84">_xlfn.STDEV.P(IF($E$5:$E$30=$E83,DB$5:DB$30))</f>
        <v>#DIV/0!</v>
      </c>
      <c r="DC84" s="74" t="e">
        <f t="array" ref="DC84">_xlfn.STDEV.P(IF($E$5:$E$30=$E83,DC$5:DC$30))</f>
        <v>#DIV/0!</v>
      </c>
      <c r="DD84" s="74" t="e">
        <f t="array" ref="DD84">_xlfn.STDEV.P(IF($E$5:$E$30=$E83,DD$5:DD$30))</f>
        <v>#DIV/0!</v>
      </c>
      <c r="DE84" s="74" t="e">
        <f t="array" ref="DE84">_xlfn.STDEV.P(IF($E$5:$E$30=$E83,DE$5:DE$30))</f>
        <v>#DIV/0!</v>
      </c>
      <c r="DF84" s="74" t="e">
        <f t="array" ref="DF84">_xlfn.STDEV.P(IF($E$5:$E$30=$E83,DF$5:DF$30))</f>
        <v>#DIV/0!</v>
      </c>
      <c r="DG84" s="74" t="e">
        <f t="array" ref="DG84">_xlfn.STDEV.P(IF($E$5:$E$30=$E83,DG$5:DG$30))</f>
        <v>#DIV/0!</v>
      </c>
      <c r="DH84" s="74" t="e">
        <f t="array" ref="DH84">_xlfn.STDEV.P(IF($E$5:$E$30=$E83,DH$5:DH$30))</f>
        <v>#DIV/0!</v>
      </c>
      <c r="DI84" s="74" t="e">
        <f t="array" ref="DI84">_xlfn.STDEV.P(IF($E$5:$E$30=$E83,DI$5:DI$30))</f>
        <v>#DIV/0!</v>
      </c>
      <c r="DJ84" s="74" t="e">
        <f t="array" ref="DJ84">_xlfn.STDEV.P(IF($E$5:$E$30=$E83,DJ$5:DJ$30))</f>
        <v>#DIV/0!</v>
      </c>
      <c r="DK84" s="74" t="e">
        <f t="array" ref="DK84">_xlfn.STDEV.P(IF($E$5:$E$30=$E83,DK$5:DK$30))</f>
        <v>#DIV/0!</v>
      </c>
    </row>
    <row r="85" spans="1:115" ht="15">
      <c r="A85" s="113"/>
      <c r="E85" s="118"/>
      <c r="I85" s="52"/>
      <c r="K85" s="57"/>
      <c r="L85" s="57"/>
      <c r="P85" s="57"/>
      <c r="Q85" s="57"/>
      <c r="R85" s="57"/>
      <c r="S85" s="243"/>
      <c r="T85" s="243"/>
      <c r="U85" s="57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DF85" s="44"/>
      <c r="DG85" s="44"/>
      <c r="DH85" s="44"/>
      <c r="DI85" s="44"/>
      <c r="DJ85" s="44"/>
      <c r="DK85" s="44"/>
    </row>
    <row r="86" spans="1:115" ht="14.25" customHeight="1">
      <c r="A86" s="113"/>
      <c r="E86" s="118" t="str">
        <f>'FIG6 Groups'!C21</f>
        <v>Group 16</v>
      </c>
      <c r="I86" s="118" t="str">
        <f>E86</f>
        <v>Group 16</v>
      </c>
      <c r="J86" s="107" t="e">
        <f>AVERAGEIF($E$5:$E$30,$E86,J$5:J$30)</f>
        <v>#DIV/0!</v>
      </c>
      <c r="K86" s="107"/>
      <c r="L86" s="107"/>
      <c r="M86" s="107" t="e">
        <f>AVERAGEIF($E$5:$E$30,$E86,M$5:M$30)</f>
        <v>#DIV/0!</v>
      </c>
      <c r="N86" s="107" t="e">
        <f>AVERAGEIF($E$5:$E$30,$E86,N$5:N$30)</f>
        <v>#DIV/0!</v>
      </c>
      <c r="O86" s="107" t="e">
        <f>AVERAGEIF($E$5:$E$30,$E86,O$5:O$30)</f>
        <v>#DIV/0!</v>
      </c>
      <c r="P86" s="107" t="e">
        <f>AVERAGEIF($E$5:$E$30,$E86,P$5:P$30)</f>
        <v>#DIV/0!</v>
      </c>
      <c r="Q86" s="107" t="e">
        <f>AVERAGEIF($E$5:$E$30,$E86,Q$5:Q$30)</f>
        <v>#DIV/0!</v>
      </c>
      <c r="R86" s="107" t="e">
        <f>AVERAGEIF($E$5:$E$30,$E86,R$5:R$30)</f>
        <v>#DIV/0!</v>
      </c>
      <c r="S86" s="244"/>
      <c r="T86" s="244" t="e">
        <f>AVERAGEIF($E$5:$E$30,$E86,T$5:T$30)</f>
        <v>#DIV/0!</v>
      </c>
      <c r="U86" s="107" t="e">
        <f>AVERAGEIF($E$5:$E$30,$E86,U$5:U$30)</f>
        <v>#DIV/0!</v>
      </c>
      <c r="V86" s="72" t="s">
        <v>9</v>
      </c>
      <c r="W86" s="78" t="e">
        <f>AVERAGEIF($E$5:$E$30,$E86,W$5:W$30)</f>
        <v>#DIV/0!</v>
      </c>
      <c r="X86" s="78" t="e">
        <f>AVERAGEIF($E$5:$E$30,$E86,X$5:X$30)</f>
        <v>#DIV/0!</v>
      </c>
      <c r="Y86" s="78" t="e">
        <f>AVERAGEIF($E$5:$E$30,$E86,Y$5:Y$30)</f>
        <v>#DIV/0!</v>
      </c>
      <c r="Z86" s="78" t="e">
        <f>AVERAGEIF($E$5:$E$30,$E86,Z$5:Z$30)</f>
        <v>#DIV/0!</v>
      </c>
      <c r="AA86" s="78" t="e">
        <f>AVERAGEIF($E$5:$E$30,$E86,AA$5:AA$30)</f>
        <v>#DIV/0!</v>
      </c>
      <c r="AB86" s="78" t="e">
        <f>AVERAGEIF($E$5:$E$30,$E86,AB$5:AB$30)</f>
        <v>#DIV/0!</v>
      </c>
      <c r="AC86" s="78" t="e">
        <f>AVERAGEIF($E$5:$E$30,$E86,AC$5:AC$30)</f>
        <v>#DIV/0!</v>
      </c>
      <c r="AD86" s="78" t="e">
        <f>AVERAGEIF($E$5:$E$30,$E86,AD$5:AD$30)</f>
        <v>#DIV/0!</v>
      </c>
      <c r="AE86" s="78" t="e">
        <f>AVERAGEIF($E$5:$E$30,$E86,AE$5:AE$30)</f>
        <v>#DIV/0!</v>
      </c>
      <c r="AF86" s="78" t="e">
        <f>AVERAGEIF($E$5:$E$30,$E86,AF$5:AF$30)</f>
        <v>#DIV/0!</v>
      </c>
      <c r="AG86" s="78" t="e">
        <f>AVERAGEIF($E$5:$E$30,$E86,AG$5:AG$30)</f>
        <v>#DIV/0!</v>
      </c>
      <c r="AH86" s="78" t="e">
        <f>AVERAGEIF($E$5:$E$30,$E86,AH$5:AH$30)</f>
        <v>#DIV/0!</v>
      </c>
      <c r="AI86" s="78" t="e">
        <f>AVERAGEIF($E$5:$E$30,$E86,AI$5:AI$30)</f>
        <v>#DIV/0!</v>
      </c>
      <c r="AJ86" s="78" t="e">
        <f>AVERAGEIF($E$5:$E$30,$E86,AJ$5:AJ$30)</f>
        <v>#DIV/0!</v>
      </c>
      <c r="AK86" s="78" t="e">
        <f>AVERAGEIF($E$5:$E$30,$E86,AK$5:AK$30)</f>
        <v>#DIV/0!</v>
      </c>
      <c r="AL86" s="78" t="e">
        <f>AVERAGEIF($E$5:$E$30,$E86,AL$5:AL$30)</f>
        <v>#DIV/0!</v>
      </c>
      <c r="AM86" s="78" t="e">
        <f>AVERAGEIF($E$5:$E$30,$E86,AM$5:AM$30)</f>
        <v>#DIV/0!</v>
      </c>
      <c r="AN86" s="78" t="e">
        <f>AVERAGEIF($E$5:$E$30,$E86,AN$5:AN$30)</f>
        <v>#DIV/0!</v>
      </c>
      <c r="AO86" s="78" t="e">
        <f>AVERAGEIF($E$5:$E$30,$E86,AO$5:AO$30)</f>
        <v>#DIV/0!</v>
      </c>
      <c r="AP86" s="78" t="e">
        <f>AVERAGEIF($E$5:$E$30,$E86,AP$5:AP$30)</f>
        <v>#DIV/0!</v>
      </c>
      <c r="AQ86" s="78" t="e">
        <f>AVERAGEIF($E$5:$E$30,$E86,AQ$5:AQ$30)</f>
        <v>#DIV/0!</v>
      </c>
      <c r="AR86" s="78" t="e">
        <f>AVERAGEIF($E$5:$E$30,$E86,AR$5:AR$30)</f>
        <v>#DIV/0!</v>
      </c>
      <c r="AS86" s="78" t="e">
        <f>AVERAGEIF($E$5:$E$30,$E86,AS$5:AS$30)</f>
        <v>#DIV/0!</v>
      </c>
      <c r="AT86" s="78" t="e">
        <f>AVERAGEIF($E$5:$E$30,$E86,AT$5:AT$30)</f>
        <v>#DIV/0!</v>
      </c>
      <c r="AU86" s="78" t="e">
        <f>AVERAGEIF($E$5:$E$30,$E86,AU$5:AU$30)</f>
        <v>#DIV/0!</v>
      </c>
      <c r="AV86" s="78" t="e">
        <f>AVERAGEIF($E$5:$E$30,$E86,AV$5:AV$30)</f>
        <v>#DIV/0!</v>
      </c>
      <c r="AW86" s="78" t="e">
        <f>AVERAGEIF($E$5:$E$30,$E86,AW$5:AW$30)</f>
        <v>#DIV/0!</v>
      </c>
      <c r="AX86" s="78" t="e">
        <f>AVERAGEIF($E$5:$E$30,$E86,AX$5:AX$30)</f>
        <v>#DIV/0!</v>
      </c>
      <c r="AY86" s="78" t="e">
        <f>AVERAGEIF($E$5:$E$30,$E86,AY$5:AY$30)</f>
        <v>#DIV/0!</v>
      </c>
      <c r="AZ86" s="78" t="e">
        <f>AVERAGEIF($E$5:$E$30,$E86,AZ$5:AZ$30)</f>
        <v>#DIV/0!</v>
      </c>
      <c r="BA86" s="78" t="e">
        <f>AVERAGEIF($E$5:$E$30,$E86,BA$5:BA$30)</f>
        <v>#DIV/0!</v>
      </c>
      <c r="BB86" s="78" t="e">
        <f>AVERAGEIF($E$5:$E$30,$E86,BB$5:BB$30)</f>
        <v>#DIV/0!</v>
      </c>
      <c r="BC86" s="78" t="e">
        <f>AVERAGEIF($E$5:$E$30,$E86,BC$5:BC$30)</f>
        <v>#DIV/0!</v>
      </c>
      <c r="BD86" s="78" t="e">
        <f>AVERAGEIF($E$5:$E$30,$E86,BD$5:BD$30)</f>
        <v>#DIV/0!</v>
      </c>
      <c r="BE86" s="78" t="e">
        <f>AVERAGEIF($E$5:$E$30,$E86,BE$5:BE$30)</f>
        <v>#DIV/0!</v>
      </c>
      <c r="BF86" s="78" t="e">
        <f>AVERAGEIF($E$5:$E$30,$E86,BF$5:BF$30)</f>
        <v>#DIV/0!</v>
      </c>
      <c r="BG86" s="78" t="e">
        <f>AVERAGEIF($E$5:$E$30,$E86,BG$5:BG$30)</f>
        <v>#DIV/0!</v>
      </c>
      <c r="BH86" s="78" t="e">
        <f>AVERAGEIF($E$5:$E$30,$E86,BH$5:BH$30)</f>
        <v>#DIV/0!</v>
      </c>
      <c r="BI86" s="78" t="e">
        <f>AVERAGEIF($E$5:$E$30,$E86,BI$5:BI$30)</f>
        <v>#DIV/0!</v>
      </c>
      <c r="BJ86" s="78" t="e">
        <f>AVERAGEIF($E$5:$E$30,$E86,BJ$5:BJ$30)</f>
        <v>#DIV/0!</v>
      </c>
      <c r="BK86" s="78" t="e">
        <f>AVERAGEIF($E$5:$E$30,$E86,BK$5:BK$30)</f>
        <v>#DIV/0!</v>
      </c>
      <c r="BL86" s="78" t="e">
        <f>AVERAGEIF($E$5:$E$30,$E86,BL$5:BL$30)</f>
        <v>#DIV/0!</v>
      </c>
      <c r="BM86" s="78" t="e">
        <f>AVERAGEIF($E$5:$E$30,$E86,BM$5:BM$30)</f>
        <v>#DIV/0!</v>
      </c>
      <c r="BN86" s="78" t="e">
        <f>AVERAGEIF($E$5:$E$30,$E86,BN$5:BN$30)</f>
        <v>#DIV/0!</v>
      </c>
      <c r="BO86" s="78" t="e">
        <f>AVERAGEIF($E$5:$E$30,$E86,BO$5:BO$30)</f>
        <v>#DIV/0!</v>
      </c>
      <c r="BP86" s="78" t="e">
        <f>AVERAGEIF($E$5:$E$30,$E86,BP$5:BP$30)</f>
        <v>#DIV/0!</v>
      </c>
      <c r="BQ86" s="103" t="s">
        <v>9</v>
      </c>
      <c r="BR86" s="73" t="e">
        <f>AVERAGEIF($E$5:$E$30,$E86,BR$5:BR$30)</f>
        <v>#DIV/0!</v>
      </c>
      <c r="BS86" s="73" t="e">
        <f>AVERAGEIF($E$5:$E$30,$E86,BS$5:BS$30)</f>
        <v>#DIV/0!</v>
      </c>
      <c r="BT86" s="73" t="e">
        <f>AVERAGEIF($E$5:$E$30,$E86,BT$5:BT$30)</f>
        <v>#DIV/0!</v>
      </c>
      <c r="BU86" s="73" t="e">
        <f>AVERAGEIF($E$5:$E$30,$E86,BU$5:BU$30)</f>
        <v>#DIV/0!</v>
      </c>
      <c r="BV86" s="73" t="e">
        <f>AVERAGEIF($E$5:$E$30,$E86,BV$5:BV$30)</f>
        <v>#DIV/0!</v>
      </c>
      <c r="BW86" s="73" t="e">
        <f>AVERAGEIF($E$5:$E$30,$E86,BW$5:BW$30)</f>
        <v>#DIV/0!</v>
      </c>
      <c r="BX86" s="73" t="e">
        <f>AVERAGEIF($E$5:$E$30,$E86,BX$5:BX$30)</f>
        <v>#DIV/0!</v>
      </c>
      <c r="BY86" s="73" t="e">
        <f>AVERAGEIF($E$5:$E$30,$E86,BY$5:BY$30)</f>
        <v>#DIV/0!</v>
      </c>
      <c r="BZ86" s="73" t="e">
        <f>AVERAGEIF($E$5:$E$30,$E86,BZ$5:BZ$30)</f>
        <v>#DIV/0!</v>
      </c>
      <c r="CA86" s="73" t="e">
        <f>AVERAGEIF($E$5:$E$30,$E86,CA$5:CA$30)</f>
        <v>#DIV/0!</v>
      </c>
      <c r="CB86" s="73" t="e">
        <f>AVERAGEIF($E$5:$E$30,$E86,CB$5:CB$30)</f>
        <v>#DIV/0!</v>
      </c>
      <c r="CC86" s="73" t="e">
        <f>AVERAGEIF($E$5:$E$30,$E86,CC$5:CC$30)</f>
        <v>#DIV/0!</v>
      </c>
      <c r="CD86" s="73" t="e">
        <f>AVERAGEIF($E$5:$E$30,$E86,CD$5:CD$30)</f>
        <v>#DIV/0!</v>
      </c>
      <c r="CE86" s="73" t="e">
        <f>AVERAGEIF($E$5:$E$30,$E86,CE$5:CE$30)</f>
        <v>#DIV/0!</v>
      </c>
      <c r="CF86" s="73" t="e">
        <f>AVERAGEIF($E$5:$E$30,$E86,CF$5:CF$30)</f>
        <v>#DIV/0!</v>
      </c>
      <c r="CG86" s="73" t="e">
        <f>AVERAGEIF($E$5:$E$30,$E86,CG$5:CG$30)</f>
        <v>#DIV/0!</v>
      </c>
      <c r="CH86" s="73" t="e">
        <f>AVERAGEIF($E$5:$E$30,$E86,CH$5:CH$30)</f>
        <v>#DIV/0!</v>
      </c>
      <c r="CI86" s="73" t="e">
        <f>AVERAGEIF($E$5:$E$30,$E86,CI$5:CI$30)</f>
        <v>#DIV/0!</v>
      </c>
      <c r="CJ86" s="73" t="e">
        <f>AVERAGEIF($E$5:$E$30,$E86,CJ$5:CJ$30)</f>
        <v>#DIV/0!</v>
      </c>
      <c r="CK86" s="73" t="e">
        <f>AVERAGEIF($E$5:$E$30,$E86,CK$5:CK$30)</f>
        <v>#DIV/0!</v>
      </c>
      <c r="CL86" s="73" t="e">
        <f>AVERAGEIF($E$5:$E$30,$E86,CL$5:CL$30)</f>
        <v>#DIV/0!</v>
      </c>
      <c r="CM86" s="73" t="e">
        <f>AVERAGEIF($E$5:$E$30,$E86,CM$5:CM$30)</f>
        <v>#DIV/0!</v>
      </c>
      <c r="CN86" s="73" t="e">
        <f>AVERAGEIF($E$5:$E$30,$E86,CN$5:CN$30)</f>
        <v>#DIV/0!</v>
      </c>
      <c r="CO86" s="73" t="e">
        <f>AVERAGEIF($E$5:$E$30,$E86,CO$5:CO$30)</f>
        <v>#DIV/0!</v>
      </c>
      <c r="CP86" s="73" t="e">
        <f>AVERAGEIF($E$5:$E$30,$E86,CP$5:CP$30)</f>
        <v>#DIV/0!</v>
      </c>
      <c r="CQ86" s="73" t="e">
        <f>AVERAGEIF($E$5:$E$30,$E86,CQ$5:CQ$30)</f>
        <v>#DIV/0!</v>
      </c>
      <c r="CR86" s="73" t="e">
        <f>AVERAGEIF($E$5:$E$30,$E86,CR$5:CR$30)</f>
        <v>#DIV/0!</v>
      </c>
      <c r="CS86" s="73" t="e">
        <f>AVERAGEIF($E$5:$E$30,$E86,CS$5:CS$30)</f>
        <v>#DIV/0!</v>
      </c>
      <c r="CT86" s="73" t="e">
        <f>AVERAGEIF($E$5:$E$30,$E86,CT$5:CT$30)</f>
        <v>#DIV/0!</v>
      </c>
      <c r="CU86" s="73" t="e">
        <f>AVERAGEIF($E$5:$E$30,$E86,CU$5:CU$30)</f>
        <v>#DIV/0!</v>
      </c>
      <c r="CV86" s="73" t="e">
        <f>AVERAGEIF($E$5:$E$30,$E86,CV$5:CV$30)</f>
        <v>#DIV/0!</v>
      </c>
      <c r="CW86" s="73" t="e">
        <f>AVERAGEIF($E$5:$E$30,$E86,CW$5:CW$30)</f>
        <v>#DIV/0!</v>
      </c>
      <c r="CX86" s="73" t="e">
        <f>AVERAGEIF($E$5:$E$30,$E86,CX$5:CX$30)</f>
        <v>#DIV/0!</v>
      </c>
      <c r="CY86" s="73" t="e">
        <f>AVERAGEIF($E$5:$E$30,$E86,CY$5:CY$30)</f>
        <v>#DIV/0!</v>
      </c>
      <c r="CZ86" s="73" t="e">
        <f>AVERAGEIF($E$5:$E$30,$E86,CZ$5:CZ$30)</f>
        <v>#DIV/0!</v>
      </c>
      <c r="DA86" s="73" t="e">
        <f>AVERAGEIF($E$5:$E$30,$E86,DA$5:DA$30)</f>
        <v>#DIV/0!</v>
      </c>
      <c r="DB86" s="73" t="e">
        <f>AVERAGEIF($E$5:$E$30,$E86,DB$5:DB$30)</f>
        <v>#DIV/0!</v>
      </c>
      <c r="DC86" s="73" t="e">
        <f>AVERAGEIF($E$5:$E$30,$E86,DC$5:DC$30)</f>
        <v>#DIV/0!</v>
      </c>
      <c r="DD86" s="73" t="e">
        <f>AVERAGEIF($E$5:$E$30,$E86,DD$5:DD$30)</f>
        <v>#DIV/0!</v>
      </c>
      <c r="DE86" s="73" t="e">
        <f>AVERAGEIF($E$5:$E$30,$E86,DE$5:DE$30)</f>
        <v>#DIV/0!</v>
      </c>
      <c r="DF86" s="73" t="e">
        <f>AVERAGEIF($E$5:$E$30,$E86,DF$5:DF$30)</f>
        <v>#DIV/0!</v>
      </c>
      <c r="DG86" s="73" t="e">
        <f>AVERAGEIF($E$5:$E$30,$E86,DG$5:DG$30)</f>
        <v>#DIV/0!</v>
      </c>
      <c r="DH86" s="73" t="e">
        <f>AVERAGEIF($E$5:$E$30,$E86,DH$5:DH$30)</f>
        <v>#DIV/0!</v>
      </c>
      <c r="DI86" s="73" t="e">
        <f>AVERAGEIF($E$5:$E$30,$E86,DI$5:DI$30)</f>
        <v>#DIV/0!</v>
      </c>
      <c r="DJ86" s="73" t="e">
        <f>AVERAGEIF($E$5:$E$30,$E86,DJ$5:DJ$30)</f>
        <v>#DIV/0!</v>
      </c>
      <c r="DK86" s="73" t="e">
        <f>AVERAGEIF($E$5:$E$30,$E86,DK$5:DK$30)</f>
        <v>#DIV/0!</v>
      </c>
    </row>
    <row r="87" spans="1:115" ht="14.25" customHeight="1">
      <c r="A87" s="113"/>
      <c r="E87" s="93"/>
      <c r="I87" s="93"/>
      <c r="J87" s="107" t="e">
        <f t="array" ref="J87">_xlfn.STDEV.P(IF($E$5:$E$30=$E86,J$5:J$30))</f>
        <v>#DIV/0!</v>
      </c>
      <c r="K87" s="107"/>
      <c r="L87" s="107"/>
      <c r="M87" s="107" t="e">
        <f t="array" ref="M87">_xlfn.STDEV.P(IF($E$5:$E$30=$E86,M$5:M$30))</f>
        <v>#DIV/0!</v>
      </c>
      <c r="N87" s="107" t="e">
        <f t="array" ref="N87">_xlfn.STDEV.P(IF($E$5:$E$30=$E86,N$5:N$30))</f>
        <v>#DIV/0!</v>
      </c>
      <c r="O87" s="107" t="e">
        <f t="array" ref="O87">_xlfn.STDEV.P(IF($E$5:$E$30=$E86,O$5:O$30))</f>
        <v>#DIV/0!</v>
      </c>
      <c r="P87" s="107" t="e">
        <f t="array" ref="P87">_xlfn.STDEV.P(IF($E$5:$E$30=$E86,P$5:P$30))</f>
        <v>#DIV/0!</v>
      </c>
      <c r="Q87" s="107" t="e">
        <f t="array" ref="Q87">_xlfn.STDEV.P(IF($E$5:$E$30=$E86,Q$5:Q$30))</f>
        <v>#DIV/0!</v>
      </c>
      <c r="R87" s="107" t="e">
        <f t="array" ref="R87">_xlfn.STDEV.P(IF($E$5:$E$30=$E86,R$5:R$30))</f>
        <v>#DIV/0!</v>
      </c>
      <c r="S87" s="244"/>
      <c r="T87" s="244" t="e">
        <f t="array" ref="T87">_xlfn.STDEV.P(IF($E$5:$E$30=$E86,T$5:T$30))</f>
        <v>#DIV/0!</v>
      </c>
      <c r="U87" s="107" t="e">
        <f t="array" ref="U87">_xlfn.STDEV.P(IF($E$5:$E$30=$E86,U$5:U$30))</f>
        <v>#DIV/0!</v>
      </c>
      <c r="V87" s="72" t="s">
        <v>11</v>
      </c>
      <c r="W87" s="81" t="e">
        <f t="array" ref="W87">_xlfn.STDEV.P(IF($E$5:$E$30=$E86,W$5:W$30))</f>
        <v>#DIV/0!</v>
      </c>
      <c r="X87" s="81" t="e">
        <f t="array" ref="X87">_xlfn.STDEV.P(IF($E$5:$E$30=$E86,X$5:X$30))</f>
        <v>#DIV/0!</v>
      </c>
      <c r="Y87" s="81" t="e">
        <f t="array" ref="Y87">_xlfn.STDEV.P(IF($E$5:$E$30=$E86,Y$5:Y$30))</f>
        <v>#DIV/0!</v>
      </c>
      <c r="Z87" s="81" t="e">
        <f t="array" ref="Z87">_xlfn.STDEV.P(IF($E$5:$E$30=$E86,Z$5:Z$30))</f>
        <v>#DIV/0!</v>
      </c>
      <c r="AA87" s="81" t="e">
        <f t="array" ref="AA87">_xlfn.STDEV.P(IF($E$5:$E$30=$E86,AA$5:AA$30))</f>
        <v>#DIV/0!</v>
      </c>
      <c r="AB87" s="81" t="e">
        <f t="array" ref="AB87">_xlfn.STDEV.P(IF($E$5:$E$30=$E86,AB$5:AB$30))</f>
        <v>#DIV/0!</v>
      </c>
      <c r="AC87" s="81" t="e">
        <f t="array" ref="AC87">_xlfn.STDEV.P(IF($E$5:$E$30=$E86,AC$5:AC$30))</f>
        <v>#DIV/0!</v>
      </c>
      <c r="AD87" s="81" t="e">
        <f t="array" ref="AD87">_xlfn.STDEV.P(IF($E$5:$E$30=$E86,AD$5:AD$30))</f>
        <v>#DIV/0!</v>
      </c>
      <c r="AE87" s="81" t="e">
        <f t="array" ref="AE87">_xlfn.STDEV.P(IF($E$5:$E$30=$E86,AE$5:AE$30))</f>
        <v>#DIV/0!</v>
      </c>
      <c r="AF87" s="81" t="e">
        <f t="array" ref="AF87">_xlfn.STDEV.P(IF($E$5:$E$30=$E86,AF$5:AF$30))</f>
        <v>#DIV/0!</v>
      </c>
      <c r="AG87" s="81" t="e">
        <f t="array" ref="AG87">_xlfn.STDEV.P(IF($E$5:$E$30=$E86,AG$5:AG$30))</f>
        <v>#DIV/0!</v>
      </c>
      <c r="AH87" s="81" t="e">
        <f t="array" ref="AH87">_xlfn.STDEV.P(IF($E$5:$E$30=$E86,AH$5:AH$30))</f>
        <v>#DIV/0!</v>
      </c>
      <c r="AI87" s="81" t="e">
        <f t="array" ref="AI87">_xlfn.STDEV.P(IF($E$5:$E$30=$E86,AI$5:AI$30))</f>
        <v>#DIV/0!</v>
      </c>
      <c r="AJ87" s="81" t="e">
        <f t="array" ref="AJ87">_xlfn.STDEV.P(IF($E$5:$E$30=$E86,AJ$5:AJ$30))</f>
        <v>#DIV/0!</v>
      </c>
      <c r="AK87" s="81" t="e">
        <f t="array" ref="AK87">_xlfn.STDEV.P(IF($E$5:$E$30=$E86,AK$5:AK$30))</f>
        <v>#DIV/0!</v>
      </c>
      <c r="AL87" s="81" t="e">
        <f t="array" ref="AL87">_xlfn.STDEV.P(IF($E$5:$E$30=$E86,AL$5:AL$30))</f>
        <v>#DIV/0!</v>
      </c>
      <c r="AM87" s="81" t="e">
        <f t="array" ref="AM87">_xlfn.STDEV.P(IF($E$5:$E$30=$E86,AM$5:AM$30))</f>
        <v>#DIV/0!</v>
      </c>
      <c r="AN87" s="81" t="e">
        <f t="array" ref="AN87">_xlfn.STDEV.P(IF($E$5:$E$30=$E86,AN$5:AN$30))</f>
        <v>#DIV/0!</v>
      </c>
      <c r="AO87" s="81" t="e">
        <f t="array" ref="AO87">_xlfn.STDEV.P(IF($E$5:$E$30=$E86,AO$5:AO$30))</f>
        <v>#DIV/0!</v>
      </c>
      <c r="AP87" s="81" t="e">
        <f t="array" ref="AP87">_xlfn.STDEV.P(IF($E$5:$E$30=$E86,AP$5:AP$30))</f>
        <v>#DIV/0!</v>
      </c>
      <c r="AQ87" s="81" t="e">
        <f t="array" ref="AQ87">_xlfn.STDEV.P(IF($E$5:$E$30=$E86,AQ$5:AQ$30))</f>
        <v>#DIV/0!</v>
      </c>
      <c r="AR87" s="81" t="e">
        <f t="array" ref="AR87">_xlfn.STDEV.P(IF($E$5:$E$30=$E86,AR$5:AR$30))</f>
        <v>#DIV/0!</v>
      </c>
      <c r="AS87" s="81" t="e">
        <f t="array" ref="AS87">_xlfn.STDEV.P(IF($E$5:$E$30=$E86,AS$5:AS$30))</f>
        <v>#DIV/0!</v>
      </c>
      <c r="AT87" s="81" t="e">
        <f t="array" ref="AT87">_xlfn.STDEV.P(IF($E$5:$E$30=$E86,AT$5:AT$30))</f>
        <v>#DIV/0!</v>
      </c>
      <c r="AU87" s="81" t="e">
        <f t="array" ref="AU87">_xlfn.STDEV.P(IF($E$5:$E$30=$E86,AU$5:AU$30))</f>
        <v>#DIV/0!</v>
      </c>
      <c r="AV87" s="81" t="e">
        <f t="array" ref="AV87">_xlfn.STDEV.P(IF($E$5:$E$30=$E86,AV$5:AV$30))</f>
        <v>#DIV/0!</v>
      </c>
      <c r="AW87" s="81" t="e">
        <f t="array" ref="AW87">_xlfn.STDEV.P(IF($E$5:$E$30=$E86,AW$5:AW$30))</f>
        <v>#DIV/0!</v>
      </c>
      <c r="AX87" s="81" t="e">
        <f t="array" ref="AX87">_xlfn.STDEV.P(IF($E$5:$E$30=$E86,AX$5:AX$30))</f>
        <v>#DIV/0!</v>
      </c>
      <c r="AY87" s="81" t="e">
        <f t="array" ref="AY87">_xlfn.STDEV.P(IF($E$5:$E$30=$E86,AY$5:AY$30))</f>
        <v>#DIV/0!</v>
      </c>
      <c r="AZ87" s="81" t="e">
        <f t="array" ref="AZ87">_xlfn.STDEV.P(IF($E$5:$E$30=$E86,AZ$5:AZ$30))</f>
        <v>#DIV/0!</v>
      </c>
      <c r="BA87" s="81" t="e">
        <f t="array" ref="BA87">_xlfn.STDEV.P(IF($E$5:$E$30=$E86,BA$5:BA$30))</f>
        <v>#DIV/0!</v>
      </c>
      <c r="BB87" s="81" t="e">
        <f t="array" ref="BB87">_xlfn.STDEV.P(IF($E$5:$E$30=$E86,BB$5:BB$30))</f>
        <v>#DIV/0!</v>
      </c>
      <c r="BC87" s="81" t="e">
        <f t="array" ref="BC87">_xlfn.STDEV.P(IF($E$5:$E$30=$E86,BC$5:BC$30))</f>
        <v>#DIV/0!</v>
      </c>
      <c r="BD87" s="81" t="e">
        <f t="array" ref="BD87">_xlfn.STDEV.P(IF($E$5:$E$30=$E86,BD$5:BD$30))</f>
        <v>#DIV/0!</v>
      </c>
      <c r="BE87" s="81" t="e">
        <f t="array" ref="BE87">_xlfn.STDEV.P(IF($E$5:$E$30=$E86,BE$5:BE$30))</f>
        <v>#DIV/0!</v>
      </c>
      <c r="BF87" s="81" t="e">
        <f t="array" ref="BF87">_xlfn.STDEV.P(IF($E$5:$E$30=$E86,BF$5:BF$30))</f>
        <v>#DIV/0!</v>
      </c>
      <c r="BG87" s="81" t="e">
        <f t="array" ref="BG87">_xlfn.STDEV.P(IF($E$5:$E$30=$E86,BG$5:BG$30))</f>
        <v>#DIV/0!</v>
      </c>
      <c r="BH87" s="81" t="e">
        <f t="array" ref="BH87">_xlfn.STDEV.P(IF($E$5:$E$30=$E86,BH$5:BH$30))</f>
        <v>#DIV/0!</v>
      </c>
      <c r="BI87" s="81" t="e">
        <f t="array" ref="BI87">_xlfn.STDEV.P(IF($E$5:$E$30=$E86,BI$5:BI$30))</f>
        <v>#DIV/0!</v>
      </c>
      <c r="BJ87" s="81" t="e">
        <f t="array" ref="BJ87">_xlfn.STDEV.P(IF($E$5:$E$30=$E86,BJ$5:BJ$30))</f>
        <v>#DIV/0!</v>
      </c>
      <c r="BK87" s="81" t="e">
        <f t="array" ref="BK87">_xlfn.STDEV.P(IF($E$5:$E$30=$E86,BK$5:BK$30))</f>
        <v>#DIV/0!</v>
      </c>
      <c r="BL87" s="81" t="e">
        <f t="array" ref="BL87">_xlfn.STDEV.P(IF($E$5:$E$30=$E86,BL$5:BL$30))</f>
        <v>#DIV/0!</v>
      </c>
      <c r="BM87" s="81" t="e">
        <f t="array" ref="BM87">_xlfn.STDEV.P(IF($E$5:$E$30=$E86,BM$5:BM$30))</f>
        <v>#DIV/0!</v>
      </c>
      <c r="BN87" s="81" t="e">
        <f t="array" ref="BN87">_xlfn.STDEV.P(IF($E$5:$E$30=$E86,BN$5:BN$30))</f>
        <v>#DIV/0!</v>
      </c>
      <c r="BO87" s="81" t="e">
        <f t="array" ref="BO87">_xlfn.STDEV.P(IF($E$5:$E$30=$E86,BO$5:BO$30))</f>
        <v>#DIV/0!</v>
      </c>
      <c r="BP87" s="81" t="e">
        <f t="array" ref="BP87">_xlfn.STDEV.P(IF($E$5:$E$30=$E86,BP$5:BP$30))</f>
        <v>#DIV/0!</v>
      </c>
      <c r="BQ87" s="104" t="s">
        <v>11</v>
      </c>
      <c r="BR87" s="74" t="e">
        <f t="array" ref="BR87">_xlfn.STDEV.P(IF($E$5:$E$30=$E86,BR$5:BR$30))</f>
        <v>#DIV/0!</v>
      </c>
      <c r="BS87" s="74" t="e">
        <f t="array" ref="BS87">_xlfn.STDEV.P(IF($E$5:$E$30=$E86,BS$5:BS$30))</f>
        <v>#DIV/0!</v>
      </c>
      <c r="BT87" s="74" t="e">
        <f t="array" ref="BT87">_xlfn.STDEV.P(IF($E$5:$E$30=$E86,BT$5:BT$30))</f>
        <v>#DIV/0!</v>
      </c>
      <c r="BU87" s="74" t="e">
        <f t="array" ref="BU87">_xlfn.STDEV.P(IF($E$5:$E$30=$E86,BU$5:BU$30))</f>
        <v>#DIV/0!</v>
      </c>
      <c r="BV87" s="74" t="e">
        <f t="array" ref="BV87">_xlfn.STDEV.P(IF($E$5:$E$30=$E86,BV$5:BV$30))</f>
        <v>#DIV/0!</v>
      </c>
      <c r="BW87" s="74" t="e">
        <f t="array" ref="BW87">_xlfn.STDEV.P(IF($E$5:$E$30=$E86,BW$5:BW$30))</f>
        <v>#DIV/0!</v>
      </c>
      <c r="BX87" s="74" t="e">
        <f t="array" ref="BX87">_xlfn.STDEV.P(IF($E$5:$E$30=$E86,BX$5:BX$30))</f>
        <v>#DIV/0!</v>
      </c>
      <c r="BY87" s="74" t="e">
        <f t="array" ref="BY87">_xlfn.STDEV.P(IF($E$5:$E$30=$E86,BY$5:BY$30))</f>
        <v>#DIV/0!</v>
      </c>
      <c r="BZ87" s="74" t="e">
        <f t="array" ref="BZ87">_xlfn.STDEV.P(IF($E$5:$E$30=$E86,BZ$5:BZ$30))</f>
        <v>#DIV/0!</v>
      </c>
      <c r="CA87" s="74" t="e">
        <f t="array" ref="CA87">_xlfn.STDEV.P(IF($E$5:$E$30=$E86,CA$5:CA$30))</f>
        <v>#DIV/0!</v>
      </c>
      <c r="CB87" s="74" t="e">
        <f t="array" ref="CB87">_xlfn.STDEV.P(IF($E$5:$E$30=$E86,CB$5:CB$30))</f>
        <v>#DIV/0!</v>
      </c>
      <c r="CC87" s="74" t="e">
        <f t="array" ref="CC87">_xlfn.STDEV.P(IF($E$5:$E$30=$E86,CC$5:CC$30))</f>
        <v>#DIV/0!</v>
      </c>
      <c r="CD87" s="74" t="e">
        <f t="array" ref="CD87">_xlfn.STDEV.P(IF($E$5:$E$30=$E86,CD$5:CD$30))</f>
        <v>#DIV/0!</v>
      </c>
      <c r="CE87" s="74" t="e">
        <f t="array" ref="CE87">_xlfn.STDEV.P(IF($E$5:$E$30=$E86,CE$5:CE$30))</f>
        <v>#DIV/0!</v>
      </c>
      <c r="CF87" s="74" t="e">
        <f t="array" ref="CF87">_xlfn.STDEV.P(IF($E$5:$E$30=$E86,CF$5:CF$30))</f>
        <v>#DIV/0!</v>
      </c>
      <c r="CG87" s="74" t="e">
        <f t="array" ref="CG87">_xlfn.STDEV.P(IF($E$5:$E$30=$E86,CG$5:CG$30))</f>
        <v>#DIV/0!</v>
      </c>
      <c r="CH87" s="74" t="e">
        <f t="array" ref="CH87">_xlfn.STDEV.P(IF($E$5:$E$30=$E86,CH$5:CH$30))</f>
        <v>#DIV/0!</v>
      </c>
      <c r="CI87" s="74" t="e">
        <f t="array" ref="CI87">_xlfn.STDEV.P(IF($E$5:$E$30=$E86,CI$5:CI$30))</f>
        <v>#DIV/0!</v>
      </c>
      <c r="CJ87" s="74" t="e">
        <f t="array" ref="CJ87">_xlfn.STDEV.P(IF($E$5:$E$30=$E86,CJ$5:CJ$30))</f>
        <v>#DIV/0!</v>
      </c>
      <c r="CK87" s="74" t="e">
        <f t="array" ref="CK87">_xlfn.STDEV.P(IF($E$5:$E$30=$E86,CK$5:CK$30))</f>
        <v>#DIV/0!</v>
      </c>
      <c r="CL87" s="74" t="e">
        <f t="array" ref="CL87">_xlfn.STDEV.P(IF($E$5:$E$30=$E86,CL$5:CL$30))</f>
        <v>#DIV/0!</v>
      </c>
      <c r="CM87" s="74" t="e">
        <f t="array" ref="CM87">_xlfn.STDEV.P(IF($E$5:$E$30=$E86,CM$5:CM$30))</f>
        <v>#DIV/0!</v>
      </c>
      <c r="CN87" s="74" t="e">
        <f t="array" ref="CN87">_xlfn.STDEV.P(IF($E$5:$E$30=$E86,CN$5:CN$30))</f>
        <v>#DIV/0!</v>
      </c>
      <c r="CO87" s="74" t="e">
        <f t="array" ref="CO87">_xlfn.STDEV.P(IF($E$5:$E$30=$E86,CO$5:CO$30))</f>
        <v>#DIV/0!</v>
      </c>
      <c r="CP87" s="74" t="e">
        <f t="array" ref="CP87">_xlfn.STDEV.P(IF($E$5:$E$30=$E86,CP$5:CP$30))</f>
        <v>#DIV/0!</v>
      </c>
      <c r="CQ87" s="74" t="e">
        <f t="array" ref="CQ87">_xlfn.STDEV.P(IF($E$5:$E$30=$E86,CQ$5:CQ$30))</f>
        <v>#DIV/0!</v>
      </c>
      <c r="CR87" s="74" t="e">
        <f t="array" ref="CR87">_xlfn.STDEV.P(IF($E$5:$E$30=$E86,CR$5:CR$30))</f>
        <v>#DIV/0!</v>
      </c>
      <c r="CS87" s="74" t="e">
        <f t="array" ref="CS87">_xlfn.STDEV.P(IF($E$5:$E$30=$E86,CS$5:CS$30))</f>
        <v>#DIV/0!</v>
      </c>
      <c r="CT87" s="74" t="e">
        <f t="array" ref="CT87">_xlfn.STDEV.P(IF($E$5:$E$30=$E86,CT$5:CT$30))</f>
        <v>#DIV/0!</v>
      </c>
      <c r="CU87" s="74" t="e">
        <f t="array" ref="CU87">_xlfn.STDEV.P(IF($E$5:$E$30=$E86,CU$5:CU$30))</f>
        <v>#DIV/0!</v>
      </c>
      <c r="CV87" s="74" t="e">
        <f t="array" ref="CV87">_xlfn.STDEV.P(IF($E$5:$E$30=$E86,CV$5:CV$30))</f>
        <v>#DIV/0!</v>
      </c>
      <c r="CW87" s="74" t="e">
        <f t="array" ref="CW87">_xlfn.STDEV.P(IF($E$5:$E$30=$E86,CW$5:CW$30))</f>
        <v>#DIV/0!</v>
      </c>
      <c r="CX87" s="74" t="e">
        <f t="array" ref="CX87">_xlfn.STDEV.P(IF($E$5:$E$30=$E86,CX$5:CX$30))</f>
        <v>#DIV/0!</v>
      </c>
      <c r="CY87" s="74" t="e">
        <f t="array" ref="CY87">_xlfn.STDEV.P(IF($E$5:$E$30=$E86,CY$5:CY$30))</f>
        <v>#DIV/0!</v>
      </c>
      <c r="CZ87" s="74" t="e">
        <f t="array" ref="CZ87">_xlfn.STDEV.P(IF($E$5:$E$30=$E86,CZ$5:CZ$30))</f>
        <v>#DIV/0!</v>
      </c>
      <c r="DA87" s="74" t="e">
        <f t="array" ref="DA87">_xlfn.STDEV.P(IF($E$5:$E$30=$E86,DA$5:DA$30))</f>
        <v>#DIV/0!</v>
      </c>
      <c r="DB87" s="74" t="e">
        <f t="array" ref="DB87">_xlfn.STDEV.P(IF($E$5:$E$30=$E86,DB$5:DB$30))</f>
        <v>#DIV/0!</v>
      </c>
      <c r="DC87" s="74" t="e">
        <f t="array" ref="DC87">_xlfn.STDEV.P(IF($E$5:$E$30=$E86,DC$5:DC$30))</f>
        <v>#DIV/0!</v>
      </c>
      <c r="DD87" s="74" t="e">
        <f t="array" ref="DD87">_xlfn.STDEV.P(IF($E$5:$E$30=$E86,DD$5:DD$30))</f>
        <v>#DIV/0!</v>
      </c>
      <c r="DE87" s="74" t="e">
        <f t="array" ref="DE87">_xlfn.STDEV.P(IF($E$5:$E$30=$E86,DE$5:DE$30))</f>
        <v>#DIV/0!</v>
      </c>
      <c r="DF87" s="74" t="e">
        <f t="array" ref="DF87">_xlfn.STDEV.P(IF($E$5:$E$30=$E86,DF$5:DF$30))</f>
        <v>#DIV/0!</v>
      </c>
      <c r="DG87" s="74" t="e">
        <f t="array" ref="DG87">_xlfn.STDEV.P(IF($E$5:$E$30=$E86,DG$5:DG$30))</f>
        <v>#DIV/0!</v>
      </c>
      <c r="DH87" s="74" t="e">
        <f t="array" ref="DH87">_xlfn.STDEV.P(IF($E$5:$E$30=$E86,DH$5:DH$30))</f>
        <v>#DIV/0!</v>
      </c>
      <c r="DI87" s="74" t="e">
        <f t="array" ref="DI87">_xlfn.STDEV.P(IF($E$5:$E$30=$E86,DI$5:DI$30))</f>
        <v>#DIV/0!</v>
      </c>
      <c r="DJ87" s="74" t="e">
        <f t="array" ref="DJ87">_xlfn.STDEV.P(IF($E$5:$E$30=$E86,DJ$5:DJ$30))</f>
        <v>#DIV/0!</v>
      </c>
      <c r="DK87" s="74" t="e">
        <f t="array" ref="DK87">_xlfn.STDEV.P(IF($E$5:$E$30=$E86,DK$5:DK$30))</f>
        <v>#DIV/0!</v>
      </c>
    </row>
    <row r="88" spans="1:115">
      <c r="P88" s="57"/>
      <c r="Q88" s="57"/>
      <c r="R88" s="57"/>
      <c r="S88" s="243"/>
      <c r="T88" s="243"/>
      <c r="U88" s="57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</row>
    <row r="89" spans="1:115">
      <c r="P89" s="57"/>
      <c r="Q89" s="57"/>
      <c r="R89" s="57"/>
      <c r="S89" s="243"/>
      <c r="T89" s="243"/>
      <c r="U89" s="57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</row>
    <row r="90" spans="1:115">
      <c r="P90" s="57"/>
      <c r="Q90" s="57"/>
      <c r="R90" s="57"/>
      <c r="S90" s="243"/>
      <c r="T90" s="243"/>
      <c r="U90" s="57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</row>
    <row r="91" spans="1:115">
      <c r="P91" s="57"/>
      <c r="Q91" s="57"/>
      <c r="R91" s="57"/>
      <c r="S91" s="243"/>
      <c r="T91" s="243"/>
      <c r="U91" s="57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</row>
    <row r="92" spans="1:115">
      <c r="P92" s="57"/>
      <c r="Q92" s="57"/>
      <c r="R92" s="57"/>
      <c r="S92" s="243"/>
      <c r="T92" s="243"/>
      <c r="U92" s="57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  <c r="BP92" s="79"/>
    </row>
    <row r="93" spans="1:115">
      <c r="P93" s="57"/>
      <c r="Q93" s="57"/>
      <c r="R93" s="57"/>
      <c r="S93" s="243"/>
      <c r="T93" s="243"/>
      <c r="U93" s="57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  <c r="BP93" s="79"/>
    </row>
    <row r="94" spans="1:115">
      <c r="Q94" s="155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/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/>
      <c r="BO94" s="79"/>
      <c r="BP94" s="79"/>
    </row>
    <row r="95" spans="1:115">
      <c r="Q95" s="155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</row>
    <row r="96" spans="1:115">
      <c r="Q96" s="155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79"/>
      <c r="BI96" s="79"/>
      <c r="BJ96" s="79"/>
      <c r="BK96" s="79"/>
      <c r="BL96" s="79"/>
      <c r="BM96" s="79"/>
      <c r="BN96" s="79"/>
      <c r="BO96" s="79"/>
      <c r="BP96" s="79"/>
    </row>
    <row r="97" spans="17:68">
      <c r="Q97" s="155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  <c r="BP97" s="79"/>
    </row>
    <row r="98" spans="17:68">
      <c r="Q98" s="155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  <c r="BP98" s="79"/>
    </row>
    <row r="99" spans="17:68">
      <c r="Q99" s="155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79"/>
      <c r="BD99" s="79"/>
      <c r="BE99" s="79"/>
      <c r="BF99" s="79"/>
      <c r="BG99" s="79"/>
      <c r="BH99" s="79"/>
      <c r="BI99" s="79"/>
      <c r="BJ99" s="79"/>
      <c r="BK99" s="79"/>
      <c r="BL99" s="79"/>
      <c r="BM99" s="79"/>
      <c r="BN99" s="79"/>
      <c r="BO99" s="79"/>
      <c r="BP99" s="79"/>
    </row>
    <row r="100" spans="17:68">
      <c r="Q100" s="155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79"/>
      <c r="AV100" s="79"/>
      <c r="AW100" s="79"/>
      <c r="AX100" s="79"/>
      <c r="AY100" s="79"/>
      <c r="AZ100" s="79"/>
      <c r="BA100" s="79"/>
      <c r="BB100" s="79"/>
      <c r="BC100" s="79"/>
      <c r="BD100" s="79"/>
      <c r="BE100" s="79"/>
      <c r="BF100" s="79"/>
      <c r="BG100" s="79"/>
      <c r="BH100" s="79"/>
      <c r="BI100" s="79"/>
      <c r="BJ100" s="79"/>
      <c r="BK100" s="79"/>
      <c r="BL100" s="79"/>
      <c r="BM100" s="79"/>
      <c r="BN100" s="79"/>
      <c r="BO100" s="79"/>
      <c r="BP100" s="79"/>
    </row>
    <row r="101" spans="17:68">
      <c r="Q101" s="155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E101" s="79"/>
      <c r="BF101" s="79"/>
      <c r="BG101" s="79"/>
      <c r="BH101" s="79"/>
      <c r="BI101" s="79"/>
      <c r="BJ101" s="79"/>
      <c r="BK101" s="79"/>
      <c r="BL101" s="79"/>
      <c r="BM101" s="79"/>
      <c r="BN101" s="79"/>
      <c r="BO101" s="79"/>
      <c r="BP101" s="79"/>
    </row>
    <row r="102" spans="17:68">
      <c r="Q102" s="155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</row>
    <row r="103" spans="17:68">
      <c r="Q103" s="155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</row>
    <row r="104" spans="17:68">
      <c r="Q104" s="155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</row>
    <row r="105" spans="17:68">
      <c r="Q105" s="155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79"/>
      <c r="BI105" s="79"/>
      <c r="BJ105" s="79"/>
      <c r="BK105" s="79"/>
      <c r="BL105" s="79"/>
      <c r="BM105" s="79"/>
      <c r="BN105" s="79"/>
      <c r="BO105" s="79"/>
      <c r="BP105" s="79"/>
    </row>
    <row r="106" spans="17:68">
      <c r="Q106" s="155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  <c r="BL106" s="79"/>
      <c r="BM106" s="79"/>
      <c r="BN106" s="79"/>
      <c r="BO106" s="79"/>
      <c r="BP106" s="79"/>
    </row>
    <row r="107" spans="17:68">
      <c r="Q107" s="155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</row>
    <row r="108" spans="17:68">
      <c r="Q108" s="155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</row>
    <row r="109" spans="17:68">
      <c r="Q109" s="155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  <c r="BK109" s="79"/>
      <c r="BL109" s="79"/>
      <c r="BM109" s="79"/>
      <c r="BN109" s="79"/>
      <c r="BO109" s="79"/>
      <c r="BP109" s="79"/>
    </row>
    <row r="110" spans="17:68">
      <c r="Q110" s="155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79"/>
      <c r="BC110" s="79"/>
      <c r="BD110" s="79"/>
      <c r="BE110" s="79"/>
      <c r="BF110" s="79"/>
      <c r="BG110" s="79"/>
      <c r="BH110" s="79"/>
      <c r="BI110" s="79"/>
      <c r="BJ110" s="79"/>
      <c r="BK110" s="79"/>
      <c r="BL110" s="79"/>
      <c r="BM110" s="79"/>
      <c r="BN110" s="79"/>
      <c r="BO110" s="79"/>
      <c r="BP110" s="79"/>
    </row>
    <row r="111" spans="17:68">
      <c r="Q111" s="155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79"/>
      <c r="BD111" s="79"/>
      <c r="BE111" s="79"/>
      <c r="BF111" s="79"/>
      <c r="BG111" s="79"/>
      <c r="BH111" s="79"/>
      <c r="BI111" s="79"/>
      <c r="BJ111" s="79"/>
      <c r="BK111" s="79"/>
      <c r="BL111" s="79"/>
      <c r="BM111" s="79"/>
      <c r="BN111" s="79"/>
      <c r="BO111" s="79"/>
      <c r="BP111" s="79"/>
    </row>
    <row r="112" spans="17:68">
      <c r="Q112" s="155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  <c r="BK112" s="79"/>
      <c r="BL112" s="79"/>
      <c r="BM112" s="79"/>
      <c r="BN112" s="79"/>
      <c r="BO112" s="79"/>
      <c r="BP112" s="79"/>
    </row>
    <row r="113" spans="17:68">
      <c r="Q113" s="155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/>
      <c r="BO113" s="79"/>
      <c r="BP113" s="79"/>
    </row>
    <row r="114" spans="17:68">
      <c r="Q114" s="155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79"/>
      <c r="BL114" s="79"/>
      <c r="BM114" s="79"/>
      <c r="BN114" s="79"/>
      <c r="BO114" s="79"/>
      <c r="BP114" s="79"/>
    </row>
    <row r="115" spans="17:68">
      <c r="Q115" s="155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79"/>
      <c r="BO115" s="79"/>
      <c r="BP115" s="79"/>
    </row>
    <row r="116" spans="17:68">
      <c r="Q116" s="155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/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/>
      <c r="BO116" s="79"/>
      <c r="BP116" s="79"/>
    </row>
    <row r="117" spans="17:68">
      <c r="Q117" s="155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E117" s="79"/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  <c r="BP117" s="79"/>
    </row>
    <row r="118" spans="17:68">
      <c r="Q118" s="155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Q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E118" s="79"/>
      <c r="BF118" s="79"/>
      <c r="BG118" s="79"/>
      <c r="BH118" s="79"/>
      <c r="BI118" s="79"/>
      <c r="BJ118" s="79"/>
      <c r="BK118" s="79"/>
      <c r="BL118" s="79"/>
      <c r="BM118" s="79"/>
      <c r="BN118" s="79"/>
      <c r="BO118" s="79"/>
      <c r="BP118" s="79"/>
    </row>
    <row r="119" spans="17:68">
      <c r="Q119" s="155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E119" s="79"/>
      <c r="BF119" s="79"/>
      <c r="BG119" s="79"/>
      <c r="BH119" s="79"/>
      <c r="BI119" s="79"/>
      <c r="BJ119" s="79"/>
      <c r="BK119" s="79"/>
      <c r="BL119" s="79"/>
      <c r="BM119" s="79"/>
      <c r="BN119" s="79"/>
      <c r="BO119" s="79"/>
      <c r="BP119" s="79"/>
    </row>
    <row r="120" spans="17:68">
      <c r="Q120" s="155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/>
      <c r="BL120" s="79"/>
      <c r="BM120" s="79"/>
      <c r="BN120" s="79"/>
      <c r="BO120" s="79"/>
      <c r="BP120" s="79"/>
    </row>
    <row r="121" spans="17:68">
      <c r="Q121" s="155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  <c r="BL121" s="79"/>
      <c r="BM121" s="79"/>
      <c r="BN121" s="79"/>
      <c r="BO121" s="79"/>
      <c r="BP121" s="79"/>
    </row>
    <row r="122" spans="17:68">
      <c r="Q122" s="155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79"/>
      <c r="BM122" s="79"/>
      <c r="BN122" s="79"/>
      <c r="BO122" s="79"/>
      <c r="BP122" s="79"/>
    </row>
    <row r="123" spans="17:68">
      <c r="Q123" s="155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  <c r="BL123" s="79"/>
      <c r="BM123" s="79"/>
      <c r="BN123" s="79"/>
      <c r="BO123" s="79"/>
      <c r="BP123" s="79"/>
    </row>
    <row r="124" spans="17:68">
      <c r="Q124" s="155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  <c r="BP124" s="79"/>
    </row>
    <row r="125" spans="17:68">
      <c r="Q125" s="155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/>
      <c r="BJ125" s="79"/>
      <c r="BK125" s="79"/>
      <c r="BL125" s="79"/>
      <c r="BM125" s="79"/>
      <c r="BN125" s="79"/>
      <c r="BO125" s="79"/>
      <c r="BP125" s="79"/>
    </row>
    <row r="126" spans="17:68">
      <c r="Q126" s="155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</row>
    <row r="127" spans="17:68">
      <c r="Q127" s="155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E127" s="79"/>
      <c r="BF127" s="79"/>
      <c r="BG127" s="79"/>
      <c r="BH127" s="79"/>
      <c r="BI127" s="79"/>
      <c r="BJ127" s="79"/>
      <c r="BK127" s="79"/>
      <c r="BL127" s="79"/>
      <c r="BM127" s="79"/>
      <c r="BN127" s="79"/>
      <c r="BO127" s="79"/>
      <c r="BP127" s="79"/>
    </row>
    <row r="128" spans="17:68">
      <c r="Q128" s="155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79"/>
      <c r="BK128" s="79"/>
      <c r="BL128" s="79"/>
      <c r="BM128" s="79"/>
      <c r="BN128" s="79"/>
      <c r="BO128" s="79"/>
      <c r="BP128" s="79"/>
    </row>
    <row r="129" spans="17:68">
      <c r="Q129" s="155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79"/>
      <c r="AW129" s="79"/>
      <c r="AX129" s="79"/>
      <c r="AY129" s="79"/>
      <c r="AZ129" s="79"/>
      <c r="BA129" s="79"/>
      <c r="BB129" s="79"/>
      <c r="BC129" s="79"/>
      <c r="BD129" s="79"/>
      <c r="BE129" s="79"/>
      <c r="BF129" s="79"/>
      <c r="BG129" s="79"/>
      <c r="BH129" s="79"/>
      <c r="BI129" s="79"/>
      <c r="BJ129" s="79"/>
      <c r="BK129" s="79"/>
      <c r="BL129" s="79"/>
      <c r="BM129" s="79"/>
      <c r="BN129" s="79"/>
      <c r="BO129" s="79"/>
      <c r="BP129" s="79"/>
    </row>
    <row r="130" spans="17:68">
      <c r="Q130" s="155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</row>
    <row r="131" spans="17:68">
      <c r="Q131" s="155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  <c r="BL131" s="79"/>
      <c r="BM131" s="79"/>
      <c r="BN131" s="79"/>
      <c r="BO131" s="79"/>
      <c r="BP131" s="79"/>
    </row>
    <row r="132" spans="17:68">
      <c r="Q132" s="155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  <c r="BL132" s="79"/>
      <c r="BM132" s="79"/>
      <c r="BN132" s="79"/>
      <c r="BO132" s="79"/>
      <c r="BP132" s="79"/>
    </row>
    <row r="133" spans="17:68">
      <c r="Q133" s="155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  <c r="BL133" s="79"/>
      <c r="BM133" s="79"/>
      <c r="BN133" s="79"/>
      <c r="BO133" s="79"/>
      <c r="BP133" s="79"/>
    </row>
    <row r="134" spans="17:68">
      <c r="Q134" s="155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  <c r="BM134" s="79"/>
      <c r="BN134" s="79"/>
      <c r="BO134" s="79"/>
      <c r="BP134" s="79"/>
    </row>
    <row r="135" spans="17:68">
      <c r="Q135" s="155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</row>
    <row r="136" spans="17:68">
      <c r="Q136" s="155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</row>
    <row r="137" spans="17:68">
      <c r="Q137" s="155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</row>
    <row r="138" spans="17:68">
      <c r="Q138" s="155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79"/>
      <c r="AQ138" s="79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  <c r="BB138" s="79"/>
      <c r="BC138" s="79"/>
      <c r="BD138" s="79"/>
      <c r="BE138" s="79"/>
      <c r="BF138" s="79"/>
      <c r="BG138" s="79"/>
      <c r="BH138" s="79"/>
      <c r="BI138" s="79"/>
      <c r="BJ138" s="79"/>
      <c r="BK138" s="79"/>
      <c r="BL138" s="79"/>
      <c r="BM138" s="79"/>
      <c r="BN138" s="79"/>
      <c r="BO138" s="79"/>
      <c r="BP138" s="79"/>
    </row>
    <row r="139" spans="17:68">
      <c r="Q139" s="155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  <c r="BP139" s="79"/>
    </row>
    <row r="140" spans="17:68">
      <c r="Q140" s="155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Q140" s="79"/>
      <c r="AR140" s="79"/>
      <c r="AS140" s="79"/>
      <c r="AT140" s="79"/>
      <c r="AU140" s="79"/>
      <c r="AV140" s="79"/>
      <c r="AW140" s="79"/>
      <c r="AX140" s="79"/>
      <c r="AY140" s="79"/>
      <c r="AZ140" s="79"/>
      <c r="BA140" s="79"/>
      <c r="BB140" s="79"/>
      <c r="BC140" s="79"/>
      <c r="BD140" s="79"/>
      <c r="BE140" s="79"/>
      <c r="BF140" s="79"/>
      <c r="BG140" s="79"/>
      <c r="BH140" s="79"/>
      <c r="BI140" s="79"/>
      <c r="BJ140" s="79"/>
      <c r="BK140" s="79"/>
      <c r="BL140" s="79"/>
      <c r="BM140" s="79"/>
      <c r="BN140" s="79"/>
      <c r="BO140" s="79"/>
      <c r="BP140" s="79"/>
    </row>
    <row r="141" spans="17:68">
      <c r="Q141" s="155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79"/>
      <c r="AQ141" s="79"/>
      <c r="AR141" s="79"/>
      <c r="AS141" s="79"/>
      <c r="AT141" s="79"/>
      <c r="AU141" s="79"/>
      <c r="AV141" s="79"/>
      <c r="AW141" s="79"/>
      <c r="AX141" s="79"/>
      <c r="AY141" s="79"/>
      <c r="AZ141" s="79"/>
      <c r="BA141" s="79"/>
      <c r="BB141" s="79"/>
      <c r="BC141" s="79"/>
      <c r="BD141" s="79"/>
      <c r="BE141" s="79"/>
      <c r="BF141" s="79"/>
      <c r="BG141" s="79"/>
      <c r="BH141" s="79"/>
      <c r="BI141" s="79"/>
      <c r="BJ141" s="79"/>
      <c r="BK141" s="79"/>
      <c r="BL141" s="79"/>
      <c r="BM141" s="79"/>
      <c r="BN141" s="79"/>
      <c r="BO141" s="79"/>
      <c r="BP141" s="79"/>
    </row>
    <row r="142" spans="17:68">
      <c r="Q142" s="155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79"/>
      <c r="AT142" s="79"/>
      <c r="AU142" s="79"/>
      <c r="AV142" s="79"/>
      <c r="AW142" s="79"/>
      <c r="AX142" s="79"/>
      <c r="AY142" s="79"/>
      <c r="AZ142" s="79"/>
      <c r="BA142" s="79"/>
      <c r="BB142" s="79"/>
      <c r="BC142" s="79"/>
      <c r="BD142" s="79"/>
      <c r="BE142" s="79"/>
      <c r="BF142" s="79"/>
      <c r="BG142" s="79"/>
      <c r="BH142" s="79"/>
      <c r="BI142" s="79"/>
      <c r="BJ142" s="79"/>
      <c r="BK142" s="79"/>
      <c r="BL142" s="79"/>
      <c r="BM142" s="79"/>
      <c r="BN142" s="79"/>
      <c r="BO142" s="79"/>
      <c r="BP142" s="79"/>
    </row>
    <row r="143" spans="17:68">
      <c r="Q143" s="155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Q143" s="79"/>
      <c r="AR143" s="79"/>
      <c r="AS143" s="79"/>
      <c r="AT143" s="79"/>
      <c r="AU143" s="79"/>
      <c r="AV143" s="79"/>
      <c r="AW143" s="79"/>
      <c r="AX143" s="79"/>
      <c r="AY143" s="79"/>
      <c r="AZ143" s="79"/>
      <c r="BA143" s="79"/>
      <c r="BB143" s="79"/>
      <c r="BC143" s="79"/>
      <c r="BD143" s="79"/>
      <c r="BE143" s="79"/>
      <c r="BF143" s="79"/>
      <c r="BG143" s="79"/>
      <c r="BH143" s="79"/>
      <c r="BI143" s="79"/>
      <c r="BJ143" s="79"/>
      <c r="BK143" s="79"/>
      <c r="BL143" s="79"/>
      <c r="BM143" s="79"/>
      <c r="BN143" s="79"/>
      <c r="BO143" s="79"/>
      <c r="BP143" s="79"/>
    </row>
    <row r="144" spans="17:68">
      <c r="Q144" s="155"/>
    </row>
    <row r="145" spans="17:17">
      <c r="Q145" s="155"/>
    </row>
    <row r="146" spans="17:17">
      <c r="Q146" s="155"/>
    </row>
    <row r="147" spans="17:17">
      <c r="Q147" s="155"/>
    </row>
    <row r="148" spans="17:17">
      <c r="Q148" s="155"/>
    </row>
    <row r="149" spans="17:17">
      <c r="Q149" s="155"/>
    </row>
    <row r="150" spans="17:17">
      <c r="Q150" s="155"/>
    </row>
    <row r="151" spans="17:17">
      <c r="Q151" s="155"/>
    </row>
    <row r="152" spans="17:17">
      <c r="Q152" s="155"/>
    </row>
    <row r="153" spans="17:17">
      <c r="Q153" s="155"/>
    </row>
    <row r="154" spans="17:17">
      <c r="Q154" s="155"/>
    </row>
    <row r="155" spans="17:17">
      <c r="Q155" s="155"/>
    </row>
    <row r="156" spans="17:17">
      <c r="Q156" s="155"/>
    </row>
    <row r="157" spans="17:17">
      <c r="Q157" s="155"/>
    </row>
    <row r="158" spans="17:17">
      <c r="Q158" s="155"/>
    </row>
    <row r="159" spans="17:17">
      <c r="Q159" s="155"/>
    </row>
    <row r="160" spans="17:17">
      <c r="Q160" s="155"/>
    </row>
    <row r="161" spans="17:17">
      <c r="Q161" s="155"/>
    </row>
    <row r="162" spans="17:17">
      <c r="Q162" s="155"/>
    </row>
    <row r="163" spans="17:17">
      <c r="Q163" s="155"/>
    </row>
    <row r="164" spans="17:17">
      <c r="Q164" s="155"/>
    </row>
    <row r="165" spans="17:17">
      <c r="Q165" s="155"/>
    </row>
    <row r="166" spans="17:17">
      <c r="Q166" s="155"/>
    </row>
    <row r="167" spans="17:17">
      <c r="Q167" s="155"/>
    </row>
  </sheetData>
  <autoFilter ref="A4:DE30" xr:uid="{00000000-0009-0000-0000-000000000000}">
    <sortState xmlns:xlrd2="http://schemas.microsoft.com/office/spreadsheetml/2017/richdata2" ref="A6:CZ32">
      <sortCondition ref="B5:B32"/>
    </sortState>
  </autoFilter>
  <mergeCells count="3">
    <mergeCell ref="F2:H2"/>
    <mergeCell ref="I32:I33"/>
    <mergeCell ref="I2:U2"/>
  </mergeCells>
  <conditionalFormatting sqref="W5:BP30">
    <cfRule type="cellIs" dxfId="7" priority="1" operator="greaterThanOrEqual">
      <formula>1650</formula>
    </cfRule>
    <cfRule type="cellIs" dxfId="6" priority="2" operator="greaterThanOrEqual">
      <formula>1100</formula>
    </cfRule>
  </conditionalFormatting>
  <dataValidations count="1">
    <dataValidation type="list" allowBlank="1" showInputMessage="1" showErrorMessage="1" sqref="E35:E1048576 I38 E5:E30" xr:uid="{00000000-0002-0000-0000-000000000000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'FIG6 Groups'!$C$6:$C$21</xm:f>
          </x14:formula1>
          <xm:sqref>I83:I87 I35:I37 I39:I81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53C7-2421-4579-B6B3-F77DD6FF02CB}">
  <dimension ref="A1:K14"/>
  <sheetViews>
    <sheetView workbookViewId="0">
      <selection sqref="A1:D1"/>
    </sheetView>
  </sheetViews>
  <sheetFormatPr defaultRowHeight="15"/>
  <cols>
    <col min="1" max="1" width="9.140625" style="113"/>
    <col min="2" max="2" width="7.140625" style="114" customWidth="1"/>
    <col min="3" max="3" width="28.85546875" style="113" bestFit="1" customWidth="1"/>
    <col min="4" max="4" width="3.5703125" style="113" customWidth="1"/>
    <col min="5" max="5" width="9.140625" style="113"/>
    <col min="6" max="7" width="9.140625" style="117"/>
    <col min="8" max="9" width="10" style="117" customWidth="1"/>
    <col min="10" max="10" width="11.85546875" style="113" customWidth="1"/>
    <col min="11" max="11" width="11.140625" style="113" customWidth="1"/>
    <col min="12" max="16384" width="9.140625" style="113"/>
  </cols>
  <sheetData>
    <row r="1" spans="1:11" ht="27">
      <c r="A1" s="261" t="s">
        <v>82</v>
      </c>
      <c r="B1" s="261"/>
      <c r="C1" s="261"/>
      <c r="D1" s="261"/>
    </row>
    <row r="2" spans="1:11" ht="24" thickBot="1">
      <c r="A2" s="257" t="s">
        <v>27</v>
      </c>
      <c r="B2" s="257"/>
      <c r="C2" s="257"/>
    </row>
    <row r="3" spans="1:11" s="116" customFormat="1">
      <c r="B3" s="115"/>
      <c r="F3" s="260"/>
      <c r="G3" s="260"/>
      <c r="H3" s="260"/>
      <c r="I3" s="260"/>
    </row>
    <row r="4" spans="1:11" ht="33.75" customHeight="1">
      <c r="F4" s="256" t="s">
        <v>46</v>
      </c>
      <c r="G4" s="259"/>
      <c r="H4" s="258" t="s">
        <v>44</v>
      </c>
      <c r="I4" s="259"/>
      <c r="J4" s="256" t="s">
        <v>45</v>
      </c>
      <c r="K4" s="256"/>
    </row>
    <row r="5" spans="1:11">
      <c r="B5" s="115" t="s">
        <v>26</v>
      </c>
      <c r="C5" s="116" t="s">
        <v>47</v>
      </c>
      <c r="E5" s="115" t="s">
        <v>26</v>
      </c>
      <c r="F5" s="249" t="s">
        <v>28</v>
      </c>
      <c r="G5" s="150" t="s">
        <v>29</v>
      </c>
      <c r="H5" s="153" t="s">
        <v>28</v>
      </c>
      <c r="I5" s="150" t="s">
        <v>29</v>
      </c>
      <c r="J5" s="249" t="s">
        <v>28</v>
      </c>
      <c r="K5" s="249" t="s">
        <v>29</v>
      </c>
    </row>
    <row r="6" spans="1:11">
      <c r="B6" s="114">
        <v>1</v>
      </c>
      <c r="C6" s="113" t="s">
        <v>62</v>
      </c>
      <c r="E6" s="119">
        <f>COUNTIF('AsPc1 REPEAT Tumor Volume'!E$5:E$14,'AsPc1 REPEAT Groups'!C6)</f>
        <v>2</v>
      </c>
      <c r="F6" s="139">
        <f>AVERAGEIF('AsPc1 REPEAT Body Weight'!E$5:E$14,'AsPc1 REPEAT Groups'!C6,'AsPc1 REPEAT Body Weight'!N$5:N$14)</f>
        <v>26.3</v>
      </c>
      <c r="G6" s="152">
        <f t="array" ref="G6">_xlfn.STDEV.P(IF('AsPc1 REPEAT Body Weight'!E$5:E$14='AsPc1 REPEAT Groups'!C6,'AsPc1 REPEAT Body Weight'!N$5:N$14))</f>
        <v>0.69999999999999929</v>
      </c>
      <c r="H6" s="154">
        <f>AVERAGEIF('AsPc1 REPEAT Tumor Volume'!E$5:E$14,'AsPc1 REPEAT Groups'!C6,'AsPc1 REPEAT Tumor Volume'!M$5:M$14)</f>
        <v>69.70808000000001</v>
      </c>
      <c r="I6" s="152">
        <f t="array" ref="I6">_xlfn.STDEV.P(IF('AsPc1 REPEAT Tumor Volume'!E$5:E$14='AsPc1 REPEAT Groups'!C6,'AsPc1 REPEAT Tumor Volume'!M$5:M$14))</f>
        <v>3.4080800000000124</v>
      </c>
      <c r="J6" s="139">
        <f>AVERAGEIF('AsPc1 REPEAT Tumor Volume'!E$5:E$14,'AsPc1 REPEAT Groups'!C6,'AsPc1 REPEAT Tumor Volume'!Q$5:Q$14)</f>
        <v>0</v>
      </c>
      <c r="K6" s="139">
        <f t="array" ref="K6">_xlfn.STDEV.P(IF('AsPc1 REPEAT Tumor Volume'!E$5:E$14='AsPc1 REPEAT Groups'!C6,'AsPc1 REPEAT Tumor Volume'!Q$5:Q$14))</f>
        <v>0</v>
      </c>
    </row>
    <row r="7" spans="1:11">
      <c r="B7" s="114">
        <v>2</v>
      </c>
      <c r="C7" s="113" t="s">
        <v>63</v>
      </c>
      <c r="E7" s="119">
        <f>COUNTIF('AsPc1 REPEAT Tumor Volume'!E$5:E$14,'AsPc1 REPEAT Groups'!C7)</f>
        <v>7</v>
      </c>
      <c r="F7" s="139">
        <f>AVERAGEIF('AsPc1 REPEAT Body Weight'!E$5:E$14,'AsPc1 REPEAT Groups'!C7,'AsPc1 REPEAT Body Weight'!N$5:N$14)</f>
        <v>28.271428571428569</v>
      </c>
      <c r="G7" s="152">
        <f t="array" ref="G7">_xlfn.STDEV.P(IF('AsPc1 REPEAT Body Weight'!E$5:E$14='AsPc1 REPEAT Groups'!C7,'AsPc1 REPEAT Body Weight'!N$5:N$14))</f>
        <v>1.4508266468409221</v>
      </c>
      <c r="H7" s="154">
        <f>AVERAGEIF('AsPc1 REPEAT Tumor Volume'!E$5:E$14,'AsPc1 REPEAT Groups'!C7,'AsPc1 REPEAT Tumor Volume'!M$5:M$14)</f>
        <v>107.62180000000001</v>
      </c>
      <c r="I7" s="152">
        <f t="array" ref="I7">_xlfn.STDEV.P(IF('AsPc1 REPEAT Tumor Volume'!E$5:E$14='AsPc1 REPEAT Groups'!C7,'AsPc1 REPEAT Tumor Volume'!M$5:M$14))</f>
        <v>17.232934518485127</v>
      </c>
      <c r="J7" s="139">
        <f>AVERAGEIF('AsPc1 REPEAT Tumor Volume'!E$5:E$14,'AsPc1 REPEAT Groups'!C7,'AsPc1 REPEAT Tumor Volume'!Q$5:Q$14)</f>
        <v>10.641851848986045</v>
      </c>
      <c r="K7" s="139">
        <f t="array" ref="K7">_xlfn.STDEV.P(IF('AsPc1 REPEAT Tumor Volume'!E$5:E$14='AsPc1 REPEAT Groups'!C7,'AsPc1 REPEAT Tumor Volume'!Q$5:Q$14))</f>
        <v>0.65356262116538255</v>
      </c>
    </row>
    <row r="8" spans="1:11">
      <c r="B8" s="114">
        <v>3</v>
      </c>
      <c r="C8" s="113" t="s">
        <v>79</v>
      </c>
      <c r="E8" s="119">
        <f>COUNTIF('AsPc1 REPEAT Tumor Volume'!E$5:E$14,'AsPc1 REPEAT Groups'!C8)</f>
        <v>1</v>
      </c>
      <c r="F8" s="139">
        <f>AVERAGEIF('AsPc1 REPEAT Body Weight'!E$5:E$14,'AsPc1 REPEAT Groups'!C8,'AsPc1 REPEAT Body Weight'!N$5:N$14)</f>
        <v>23.4</v>
      </c>
      <c r="G8" s="152">
        <f t="array" ref="G8">_xlfn.STDEV.P(IF('AsPc1 REPEAT Body Weight'!E$5:E$14='AsPc1 REPEAT Groups'!C8,'AsPc1 REPEAT Body Weight'!N$5:N$14))</f>
        <v>0</v>
      </c>
      <c r="H8" s="154">
        <f>AVERAGEIF('AsPc1 REPEAT Tumor Volume'!E$5:E$14,'AsPc1 REPEAT Groups'!C8,'AsPc1 REPEAT Tumor Volume'!M$5:M$14)</f>
        <v>86.561279999999996</v>
      </c>
      <c r="I8" s="152">
        <f t="array" ref="I8">_xlfn.STDEV.P(IF('AsPc1 REPEAT Tumor Volume'!E$5:E$14='AsPc1 REPEAT Groups'!C8,'AsPc1 REPEAT Tumor Volume'!M$5:M$14))</f>
        <v>0</v>
      </c>
      <c r="J8" s="139">
        <f>AVERAGEIF('AsPc1 REPEAT Tumor Volume'!E$5:E$14,'AsPc1 REPEAT Groups'!C8,'AsPc1 REPEAT Tumor Volume'!Q$5:Q$14)</f>
        <v>11.517851861709994</v>
      </c>
      <c r="K8" s="139">
        <f t="array" ref="K8">_xlfn.STDEV.P(IF('AsPc1 REPEAT Tumor Volume'!E$5:E$14='AsPc1 REPEAT Groups'!C8,'AsPc1 REPEAT Tumor Volume'!Q$5:Q$14))</f>
        <v>0</v>
      </c>
    </row>
    <row r="9" spans="1:11">
      <c r="B9" s="114">
        <v>4</v>
      </c>
      <c r="C9" s="113" t="s">
        <v>80</v>
      </c>
      <c r="E9" s="119">
        <f>COUNTIF('AsPc1 REPEAT Tumor Volume'!E$5:E$14,'AsPc1 REPEAT Groups'!C9)</f>
        <v>0</v>
      </c>
      <c r="F9" s="139" t="e">
        <f>AVERAGEIF('AsPc1 REPEAT Body Weight'!E$5:E$14,'AsPc1 REPEAT Groups'!C9,'AsPc1 REPEAT Body Weight'!N$5:N$14)</f>
        <v>#DIV/0!</v>
      </c>
      <c r="G9" s="152" t="e">
        <f t="array" ref="G9">_xlfn.STDEV.P(IF('AsPc1 REPEAT Body Weight'!E$5:E$14='AsPc1 REPEAT Groups'!C9,'AsPc1 REPEAT Body Weight'!N$5:N$14))</f>
        <v>#DIV/0!</v>
      </c>
      <c r="H9" s="154" t="e">
        <f>AVERAGEIF('AsPc1 REPEAT Tumor Volume'!E$5:E$14,'AsPc1 REPEAT Groups'!C9,'AsPc1 REPEAT Tumor Volume'!M$5:M$14)</f>
        <v>#DIV/0!</v>
      </c>
      <c r="I9" s="152" t="e">
        <f t="array" ref="I9">_xlfn.STDEV.P(IF('AsPc1 REPEAT Tumor Volume'!E$5:E$14='AsPc1 REPEAT Groups'!C9,'AsPc1 REPEAT Tumor Volume'!M$5:M$14))</f>
        <v>#DIV/0!</v>
      </c>
      <c r="J9" s="139" t="e">
        <f>AVERAGEIF('AsPc1 REPEAT Tumor Volume'!E$5:E$14,'AsPc1 REPEAT Groups'!C9,'AsPc1 REPEAT Tumor Volume'!Q$5:Q$14)</f>
        <v>#DIV/0!</v>
      </c>
      <c r="K9" s="139" t="e">
        <f t="array" ref="K9">_xlfn.STDEV.P(IF('AsPc1 REPEAT Tumor Volume'!E$5:E$14='AsPc1 REPEAT Groups'!C9,'AsPc1 REPEAT Tumor Volume'!Q$5:Q$14))</f>
        <v>#DIV/0!</v>
      </c>
    </row>
    <row r="10" spans="1:11">
      <c r="B10" s="114">
        <v>5</v>
      </c>
      <c r="C10" s="113" t="s">
        <v>81</v>
      </c>
      <c r="E10" s="119">
        <f>COUNTIF('AsPc1 REPEAT Tumor Volume'!E$5:E$14,'AsPc1 REPEAT Groups'!C10)</f>
        <v>0</v>
      </c>
      <c r="F10" s="139" t="e">
        <f>AVERAGEIF('AsPc1 REPEAT Body Weight'!E$5:E$14,'AsPc1 REPEAT Groups'!C10,'AsPc1 REPEAT Body Weight'!N$5:N$14)</f>
        <v>#DIV/0!</v>
      </c>
      <c r="G10" s="152" t="e">
        <f t="array" ref="G10">_xlfn.STDEV.P(IF('AsPc1 REPEAT Body Weight'!E$5:E$14='AsPc1 REPEAT Groups'!C10,'AsPc1 REPEAT Body Weight'!N$5:N$14))</f>
        <v>#DIV/0!</v>
      </c>
      <c r="H10" s="154" t="e">
        <f>AVERAGEIF('AsPc1 REPEAT Tumor Volume'!E$5:E$14,'AsPc1 REPEAT Groups'!C10,'AsPc1 REPEAT Tumor Volume'!M$5:M$14)</f>
        <v>#DIV/0!</v>
      </c>
      <c r="I10" s="152" t="e">
        <f t="array" ref="I10">_xlfn.STDEV.P(IF('AsPc1 REPEAT Tumor Volume'!E$5:E$14='AsPc1 REPEAT Groups'!C10,'AsPc1 REPEAT Tumor Volume'!M$5:M$14))</f>
        <v>#DIV/0!</v>
      </c>
      <c r="J10" s="139" t="e">
        <f>AVERAGEIF('AsPc1 REPEAT Tumor Volume'!E$5:E$14,'AsPc1 REPEAT Groups'!C10,'AsPc1 REPEAT Tumor Volume'!Q$5:Q$14)</f>
        <v>#DIV/0!</v>
      </c>
      <c r="K10" s="139" t="e">
        <f t="array" ref="K10">_xlfn.STDEV.P(IF('AsPc1 REPEAT Tumor Volume'!E$5:E$14='AsPc1 REPEAT Groups'!C10,'AsPc1 REPEAT Tumor Volume'!Q$5:Q$14))</f>
        <v>#DIV/0!</v>
      </c>
    </row>
    <row r="11" spans="1:11">
      <c r="B11" s="114">
        <v>6</v>
      </c>
      <c r="C11" s="113" t="s">
        <v>75</v>
      </c>
      <c r="E11" s="119">
        <f>COUNTIF('AsPc1 REPEAT Tumor Volume'!E$5:E$14,'AsPc1 REPEAT Groups'!C11)</f>
        <v>0</v>
      </c>
      <c r="F11" s="139" t="e">
        <f>AVERAGEIF('AsPc1 REPEAT Body Weight'!E$5:E$14,'AsPc1 REPEAT Groups'!C11,'AsPc1 REPEAT Body Weight'!N$5:N$14)</f>
        <v>#DIV/0!</v>
      </c>
      <c r="G11" s="152" t="e">
        <f t="array" ref="G11">_xlfn.STDEV.P(IF('AsPc1 REPEAT Body Weight'!E$5:E$14='AsPc1 REPEAT Groups'!C11,'AsPc1 REPEAT Body Weight'!N$5:N$14))</f>
        <v>#DIV/0!</v>
      </c>
      <c r="H11" s="154" t="e">
        <f>AVERAGEIF('AsPc1 REPEAT Tumor Volume'!E$5:E$14,'AsPc1 REPEAT Groups'!C11,'AsPc1 REPEAT Tumor Volume'!M$5:M$14)</f>
        <v>#DIV/0!</v>
      </c>
      <c r="I11" s="152" t="e">
        <f t="array" ref="I11">_xlfn.STDEV.P(IF('AsPc1 REPEAT Tumor Volume'!E$5:E$14='AsPc1 REPEAT Groups'!C11,'AsPc1 REPEAT Tumor Volume'!M$5:M$14))</f>
        <v>#DIV/0!</v>
      </c>
      <c r="J11" s="139" t="e">
        <f>AVERAGEIF('AsPc1 REPEAT Tumor Volume'!E$5:E$14,'AsPc1 REPEAT Groups'!C11,'AsPc1 REPEAT Tumor Volume'!Q$5:Q$14)</f>
        <v>#DIV/0!</v>
      </c>
      <c r="K11" s="139" t="e">
        <f t="array" ref="K11">_xlfn.STDEV.P(IF('AsPc1 REPEAT Tumor Volume'!E$5:E$14='AsPc1 REPEAT Groups'!C11,'AsPc1 REPEAT Tumor Volume'!Q$5:Q$14))</f>
        <v>#DIV/0!</v>
      </c>
    </row>
    <row r="12" spans="1:11">
      <c r="B12" s="114">
        <v>7</v>
      </c>
      <c r="C12" s="113" t="s">
        <v>76</v>
      </c>
      <c r="E12" s="119">
        <f>COUNTIF('AsPc1 REPEAT Tumor Volume'!E$5:E$14,'AsPc1 REPEAT Groups'!C12)</f>
        <v>0</v>
      </c>
      <c r="F12" s="139" t="e">
        <f>AVERAGEIF('AsPc1 REPEAT Body Weight'!E$5:E$14,'AsPc1 REPEAT Groups'!C12,'AsPc1 REPEAT Body Weight'!N$5:N$14)</f>
        <v>#DIV/0!</v>
      </c>
      <c r="G12" s="152" t="e">
        <f t="array" ref="G12">_xlfn.STDEV.P(IF('AsPc1 REPEAT Body Weight'!E$5:E$14='AsPc1 REPEAT Groups'!C12,'AsPc1 REPEAT Body Weight'!N$5:N$14))</f>
        <v>#DIV/0!</v>
      </c>
      <c r="H12" s="154" t="e">
        <f>AVERAGEIF('AsPc1 REPEAT Tumor Volume'!E$5:E$14,'AsPc1 REPEAT Groups'!C12,'AsPc1 REPEAT Tumor Volume'!M$5:M$14)</f>
        <v>#DIV/0!</v>
      </c>
      <c r="I12" s="152" t="e">
        <f t="array" ref="I12">_xlfn.STDEV.P(IF('AsPc1 REPEAT Tumor Volume'!E$5:E$14='AsPc1 REPEAT Groups'!C12,'AsPc1 REPEAT Tumor Volume'!M$5:M$14))</f>
        <v>#DIV/0!</v>
      </c>
      <c r="J12" s="139" t="e">
        <f>AVERAGEIF('AsPc1 REPEAT Tumor Volume'!E$5:E$14,'AsPc1 REPEAT Groups'!C12,'AsPc1 REPEAT Tumor Volume'!Q$5:Q$14)</f>
        <v>#DIV/0!</v>
      </c>
      <c r="K12" s="139" t="e">
        <f t="array" ref="K12">_xlfn.STDEV.P(IF('AsPc1 REPEAT Tumor Volume'!E$5:E$14='AsPc1 REPEAT Groups'!C12,'AsPc1 REPEAT Tumor Volume'!Q$5:Q$14))</f>
        <v>#DIV/0!</v>
      </c>
    </row>
    <row r="13" spans="1:11">
      <c r="B13" s="114">
        <v>8</v>
      </c>
      <c r="C13" s="113" t="s">
        <v>77</v>
      </c>
      <c r="E13" s="119">
        <f>COUNTIF('AsPc1 REPEAT Tumor Volume'!E$5:E$14,'AsPc1 REPEAT Groups'!C13)</f>
        <v>0</v>
      </c>
      <c r="F13" s="139" t="e">
        <f>AVERAGEIF('AsPc1 REPEAT Body Weight'!E$5:E$14,'AsPc1 REPEAT Groups'!C13,'AsPc1 REPEAT Body Weight'!N$5:N$14)</f>
        <v>#DIV/0!</v>
      </c>
      <c r="G13" s="152" t="e">
        <f t="array" ref="G13">_xlfn.STDEV.P(IF('AsPc1 REPEAT Body Weight'!E$5:E$14='AsPc1 REPEAT Groups'!C13,'AsPc1 REPEAT Body Weight'!N$5:N$14))</f>
        <v>#DIV/0!</v>
      </c>
      <c r="H13" s="154" t="e">
        <f>AVERAGEIF('AsPc1 REPEAT Tumor Volume'!E$5:E$14,'AsPc1 REPEAT Groups'!C13,'AsPc1 REPEAT Tumor Volume'!M$5:M$14)</f>
        <v>#DIV/0!</v>
      </c>
      <c r="I13" s="152" t="e">
        <f t="array" ref="I13">_xlfn.STDEV.P(IF('AsPc1 REPEAT Tumor Volume'!E$5:E$14='AsPc1 REPEAT Groups'!C13,'AsPc1 REPEAT Tumor Volume'!M$5:M$14))</f>
        <v>#DIV/0!</v>
      </c>
      <c r="J13" s="139" t="e">
        <f>AVERAGEIF('AsPc1 REPEAT Tumor Volume'!E$5:E$14,'AsPc1 REPEAT Groups'!C13,'AsPc1 REPEAT Tumor Volume'!Q$5:Q$14)</f>
        <v>#DIV/0!</v>
      </c>
      <c r="K13" s="139" t="e">
        <f t="array" ref="K13">_xlfn.STDEV.P(IF('AsPc1 REPEAT Tumor Volume'!E$5:E$14='AsPc1 REPEAT Groups'!C13,'AsPc1 REPEAT Tumor Volume'!Q$5:Q$14))</f>
        <v>#DIV/0!</v>
      </c>
    </row>
    <row r="14" spans="1:11">
      <c r="B14" s="114">
        <v>9</v>
      </c>
      <c r="C14" s="113" t="s">
        <v>78</v>
      </c>
      <c r="E14" s="119">
        <f>COUNTIF('AsPc1 REPEAT Tumor Volume'!E$5:E$14,'AsPc1 REPEAT Groups'!C14)</f>
        <v>0</v>
      </c>
      <c r="F14" s="139" t="e">
        <f>AVERAGEIF('AsPc1 REPEAT Body Weight'!E$5:E$14,'AsPc1 REPEAT Groups'!C14,'AsPc1 REPEAT Body Weight'!N$5:N$14)</f>
        <v>#DIV/0!</v>
      </c>
      <c r="G14" s="152" t="e">
        <f t="array" ref="G14">_xlfn.STDEV.P(IF('AsPc1 REPEAT Body Weight'!E$5:E$14='AsPc1 REPEAT Groups'!C14,'AsPc1 REPEAT Body Weight'!N$5:N$14))</f>
        <v>#DIV/0!</v>
      </c>
      <c r="H14" s="154" t="e">
        <f>AVERAGEIF('AsPc1 REPEAT Tumor Volume'!E$5:E$14,'AsPc1 REPEAT Groups'!C14,'AsPc1 REPEAT Tumor Volume'!M$5:M$14)</f>
        <v>#DIV/0!</v>
      </c>
      <c r="I14" s="152" t="e">
        <f t="array" ref="I14">_xlfn.STDEV.P(IF('AsPc1 REPEAT Tumor Volume'!E$5:E$14='AsPc1 REPEAT Groups'!C14,'AsPc1 REPEAT Tumor Volume'!M$5:M$14))</f>
        <v>#DIV/0!</v>
      </c>
      <c r="J14" s="139" t="e">
        <f>AVERAGEIF('AsPc1 REPEAT Tumor Volume'!E$5:E$14,'AsPc1 REPEAT Groups'!C14,'AsPc1 REPEAT Tumor Volume'!Q$5:Q$14)</f>
        <v>#DIV/0!</v>
      </c>
      <c r="K14" s="139" t="e">
        <f t="array" ref="K14">_xlfn.STDEV.P(IF('AsPc1 REPEAT Tumor Volume'!E$5:E$14='AsPc1 REPEAT Groups'!C14,'AsPc1 REPEAT Tumor Volume'!Q$5:Q$14))</f>
        <v>#DIV/0!</v>
      </c>
    </row>
  </sheetData>
  <mergeCells count="7">
    <mergeCell ref="A1:D1"/>
    <mergeCell ref="A2:C2"/>
    <mergeCell ref="F3:G3"/>
    <mergeCell ref="H3:I3"/>
    <mergeCell ref="F4:G4"/>
    <mergeCell ref="H4:I4"/>
    <mergeCell ref="J4:K4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81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defaultRowHeight="12.75" outlineLevelCol="1"/>
  <cols>
    <col min="1" max="1" width="9.85546875" style="54" bestFit="1" customWidth="1"/>
    <col min="2" max="2" width="9.140625" style="44"/>
    <col min="3" max="3" width="17.28515625" style="55" hidden="1" customWidth="1" outlineLevel="1"/>
    <col min="4" max="4" width="19" style="44" hidden="1" customWidth="1" outlineLevel="1"/>
    <col min="5" max="5" width="22.85546875" style="53" customWidth="1" collapsed="1"/>
    <col min="6" max="6" width="10.5703125" style="56" customWidth="1"/>
    <col min="7" max="7" width="10.7109375" style="214" customWidth="1"/>
    <col min="8" max="8" width="9.5703125" style="79" hidden="1" customWidth="1" outlineLevel="1"/>
    <col min="9" max="9" width="15.28515625" style="56" customWidth="1" collapsed="1"/>
    <col min="10" max="10" width="11.140625" style="79" hidden="1" customWidth="1" outlineLevel="1"/>
    <col min="11" max="11" width="10.7109375" style="44" customWidth="1" collapsed="1"/>
    <col min="12" max="13" width="8.5703125" style="44" customWidth="1"/>
    <col min="14" max="55" width="8.5703125" style="44" customWidth="1" outlineLevel="1"/>
    <col min="56" max="56" width="6.140625" style="45" bestFit="1" customWidth="1"/>
    <col min="57" max="58" width="8.5703125" style="44" customWidth="1"/>
    <col min="59" max="100" width="8.5703125" style="44" customWidth="1" outlineLevel="1"/>
    <col min="101" max="16384" width="9.140625" style="53"/>
  </cols>
  <sheetData>
    <row r="1" spans="1:101" s="7" customFormat="1" ht="25.5">
      <c r="A1" s="6" t="s">
        <v>83</v>
      </c>
      <c r="C1" s="8"/>
      <c r="D1" s="9"/>
      <c r="F1" s="10"/>
      <c r="G1" s="208"/>
      <c r="H1" s="215"/>
      <c r="I1" s="10"/>
      <c r="J1" s="215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13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</row>
    <row r="2" spans="1:101" s="50" customFormat="1" ht="15.75" customHeight="1">
      <c r="A2" s="120" t="s">
        <v>30</v>
      </c>
      <c r="B2" s="14"/>
      <c r="C2" s="15"/>
      <c r="D2" s="14"/>
      <c r="E2" s="16"/>
      <c r="F2" s="250" t="s">
        <v>12</v>
      </c>
      <c r="G2" s="251"/>
      <c r="H2" s="251"/>
      <c r="I2" s="250" t="s">
        <v>0</v>
      </c>
      <c r="J2" s="253"/>
      <c r="K2" s="17"/>
      <c r="L2" s="120" t="s">
        <v>15</v>
      </c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6"/>
      <c r="BD2" s="48"/>
      <c r="BE2" s="120" t="s">
        <v>54</v>
      </c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6"/>
      <c r="CW2" s="49"/>
    </row>
    <row r="3" spans="1:101" s="64" customFormat="1" ht="15.75">
      <c r="A3" s="59"/>
      <c r="B3" s="60"/>
      <c r="C3" s="61"/>
      <c r="D3" s="60"/>
      <c r="E3" s="62"/>
      <c r="F3" s="184"/>
      <c r="G3" s="223"/>
      <c r="H3" s="223"/>
      <c r="I3" s="228"/>
      <c r="J3" s="220"/>
      <c r="K3" s="190" t="s">
        <v>13</v>
      </c>
      <c r="L3" s="97">
        <v>42859</v>
      </c>
      <c r="M3" s="97">
        <v>42860</v>
      </c>
      <c r="N3" s="97">
        <v>42861</v>
      </c>
      <c r="O3" s="97">
        <v>42862</v>
      </c>
      <c r="P3" s="97">
        <v>42863</v>
      </c>
      <c r="Q3" s="97">
        <v>42865</v>
      </c>
      <c r="R3" s="97">
        <v>42868</v>
      </c>
      <c r="S3" s="97">
        <v>42870</v>
      </c>
      <c r="T3" s="97">
        <v>42872</v>
      </c>
      <c r="U3" s="97">
        <v>42877</v>
      </c>
      <c r="V3" s="97">
        <v>42879</v>
      </c>
      <c r="W3" s="97">
        <v>42881</v>
      </c>
      <c r="X3" s="97">
        <v>42884</v>
      </c>
      <c r="Y3" s="97">
        <v>42886</v>
      </c>
      <c r="Z3" s="97">
        <v>42888</v>
      </c>
      <c r="AA3" s="97">
        <v>42891</v>
      </c>
      <c r="AB3" s="97">
        <v>42893</v>
      </c>
      <c r="AC3" s="97">
        <v>42895</v>
      </c>
      <c r="AD3" s="97">
        <v>42898</v>
      </c>
      <c r="AE3" s="97">
        <v>42901</v>
      </c>
      <c r="AF3" s="97">
        <v>42903</v>
      </c>
      <c r="AG3" s="97">
        <v>42906</v>
      </c>
      <c r="AH3" s="97">
        <v>42909</v>
      </c>
      <c r="AI3" s="97">
        <v>42912</v>
      </c>
      <c r="AJ3" s="97">
        <v>42914</v>
      </c>
      <c r="AK3" s="97">
        <v>42916</v>
      </c>
      <c r="AL3" s="97">
        <v>42919</v>
      </c>
      <c r="AM3" s="97">
        <v>42921</v>
      </c>
      <c r="AN3" s="97">
        <v>42923</v>
      </c>
      <c r="AO3" s="97">
        <v>42925</v>
      </c>
      <c r="AP3" s="97">
        <v>42927</v>
      </c>
      <c r="AQ3" s="97">
        <v>42930</v>
      </c>
      <c r="AR3" s="97">
        <v>42932</v>
      </c>
      <c r="AS3" s="97">
        <v>42934</v>
      </c>
      <c r="AT3" s="97">
        <v>42937</v>
      </c>
      <c r="AU3" s="97">
        <v>42941</v>
      </c>
      <c r="AV3" s="97">
        <v>42944</v>
      </c>
      <c r="AW3" s="97">
        <v>42947</v>
      </c>
      <c r="AX3" s="97">
        <v>42953</v>
      </c>
      <c r="AY3" s="97">
        <v>42955</v>
      </c>
      <c r="AZ3" s="97">
        <v>42959</v>
      </c>
      <c r="BA3" s="97">
        <v>42962</v>
      </c>
      <c r="BB3" s="97">
        <v>42965</v>
      </c>
      <c r="BC3" s="97">
        <v>42968</v>
      </c>
      <c r="BD3" s="183"/>
      <c r="BE3" s="97">
        <f t="shared" ref="BE3:CP3" si="0">IF(ISBLANK(L3)=TRUE," ",L3)</f>
        <v>42859</v>
      </c>
      <c r="BF3" s="97">
        <f t="shared" si="0"/>
        <v>42860</v>
      </c>
      <c r="BG3" s="97">
        <f t="shared" si="0"/>
        <v>42861</v>
      </c>
      <c r="BH3" s="97">
        <f t="shared" si="0"/>
        <v>42862</v>
      </c>
      <c r="BI3" s="97">
        <f t="shared" si="0"/>
        <v>42863</v>
      </c>
      <c r="BJ3" s="97">
        <f t="shared" si="0"/>
        <v>42865</v>
      </c>
      <c r="BK3" s="97">
        <f t="shared" si="0"/>
        <v>42868</v>
      </c>
      <c r="BL3" s="97">
        <f t="shared" si="0"/>
        <v>42870</v>
      </c>
      <c r="BM3" s="97">
        <f t="shared" si="0"/>
        <v>42872</v>
      </c>
      <c r="BN3" s="97">
        <f t="shared" si="0"/>
        <v>42877</v>
      </c>
      <c r="BO3" s="97">
        <f t="shared" si="0"/>
        <v>42879</v>
      </c>
      <c r="BP3" s="97">
        <f t="shared" si="0"/>
        <v>42881</v>
      </c>
      <c r="BQ3" s="97">
        <f t="shared" si="0"/>
        <v>42884</v>
      </c>
      <c r="BR3" s="97">
        <f t="shared" si="0"/>
        <v>42886</v>
      </c>
      <c r="BS3" s="97">
        <f t="shared" si="0"/>
        <v>42888</v>
      </c>
      <c r="BT3" s="97">
        <f t="shared" si="0"/>
        <v>42891</v>
      </c>
      <c r="BU3" s="97">
        <f t="shared" si="0"/>
        <v>42893</v>
      </c>
      <c r="BV3" s="97">
        <f t="shared" si="0"/>
        <v>42895</v>
      </c>
      <c r="BW3" s="97">
        <f t="shared" si="0"/>
        <v>42898</v>
      </c>
      <c r="BX3" s="97">
        <f t="shared" si="0"/>
        <v>42901</v>
      </c>
      <c r="BY3" s="97">
        <f t="shared" si="0"/>
        <v>42903</v>
      </c>
      <c r="BZ3" s="97">
        <f t="shared" si="0"/>
        <v>42906</v>
      </c>
      <c r="CA3" s="97">
        <f t="shared" si="0"/>
        <v>42909</v>
      </c>
      <c r="CB3" s="97">
        <f t="shared" si="0"/>
        <v>42912</v>
      </c>
      <c r="CC3" s="97">
        <f t="shared" si="0"/>
        <v>42914</v>
      </c>
      <c r="CD3" s="97">
        <f t="shared" si="0"/>
        <v>42916</v>
      </c>
      <c r="CE3" s="97">
        <f t="shared" si="0"/>
        <v>42919</v>
      </c>
      <c r="CF3" s="97">
        <f t="shared" si="0"/>
        <v>42921</v>
      </c>
      <c r="CG3" s="97">
        <f t="shared" si="0"/>
        <v>42923</v>
      </c>
      <c r="CH3" s="97">
        <f t="shared" si="0"/>
        <v>42925</v>
      </c>
      <c r="CI3" s="97">
        <f t="shared" si="0"/>
        <v>42927</v>
      </c>
      <c r="CJ3" s="97">
        <f t="shared" si="0"/>
        <v>42930</v>
      </c>
      <c r="CK3" s="97">
        <f t="shared" si="0"/>
        <v>42932</v>
      </c>
      <c r="CL3" s="97">
        <f t="shared" si="0"/>
        <v>42934</v>
      </c>
      <c r="CM3" s="97">
        <f t="shared" si="0"/>
        <v>42937</v>
      </c>
      <c r="CN3" s="97">
        <f t="shared" si="0"/>
        <v>42941</v>
      </c>
      <c r="CO3" s="97">
        <f t="shared" si="0"/>
        <v>42944</v>
      </c>
      <c r="CP3" s="97">
        <f t="shared" si="0"/>
        <v>42947</v>
      </c>
      <c r="CQ3" s="97">
        <f t="shared" ref="CQ3:CV3" si="1">IF(ISBLANK(AX3)=TRUE," ",AX3)</f>
        <v>42953</v>
      </c>
      <c r="CR3" s="97">
        <f t="shared" si="1"/>
        <v>42955</v>
      </c>
      <c r="CS3" s="97">
        <f t="shared" si="1"/>
        <v>42959</v>
      </c>
      <c r="CT3" s="97">
        <f t="shared" si="1"/>
        <v>42962</v>
      </c>
      <c r="CU3" s="97">
        <f t="shared" si="1"/>
        <v>42965</v>
      </c>
      <c r="CV3" s="97">
        <f t="shared" si="1"/>
        <v>42968</v>
      </c>
      <c r="CW3" s="63"/>
    </row>
    <row r="4" spans="1:101" s="52" customFormat="1" ht="15.75" customHeight="1">
      <c r="A4" s="18" t="s">
        <v>5</v>
      </c>
      <c r="B4" s="19" t="s">
        <v>6</v>
      </c>
      <c r="C4" s="20" t="s">
        <v>7</v>
      </c>
      <c r="D4" s="18" t="s">
        <v>14</v>
      </c>
      <c r="E4" s="21" t="s">
        <v>10</v>
      </c>
      <c r="F4" s="224" t="s">
        <v>1</v>
      </c>
      <c r="G4" s="225" t="s">
        <v>69</v>
      </c>
      <c r="H4" s="226" t="s">
        <v>2</v>
      </c>
      <c r="I4" s="22" t="s">
        <v>1</v>
      </c>
      <c r="J4" s="226" t="s">
        <v>2</v>
      </c>
      <c r="K4" s="202" t="s">
        <v>8</v>
      </c>
      <c r="L4" s="185">
        <f>IF(ISBLANK(L3)=TRUE,"",L3-$I$5)</f>
        <v>-2</v>
      </c>
      <c r="M4" s="185">
        <f t="shared" ref="M4:BC4" si="2">IF(ISBLANK(M3)=TRUE,"",M3-$I$5)</f>
        <v>-1</v>
      </c>
      <c r="N4" s="185">
        <f t="shared" si="2"/>
        <v>0</v>
      </c>
      <c r="O4" s="185">
        <f t="shared" si="2"/>
        <v>1</v>
      </c>
      <c r="P4" s="185">
        <f t="shared" si="2"/>
        <v>2</v>
      </c>
      <c r="Q4" s="185">
        <f t="shared" si="2"/>
        <v>4</v>
      </c>
      <c r="R4" s="185">
        <f t="shared" si="2"/>
        <v>7</v>
      </c>
      <c r="S4" s="185">
        <f t="shared" si="2"/>
        <v>9</v>
      </c>
      <c r="T4" s="185">
        <f t="shared" si="2"/>
        <v>11</v>
      </c>
      <c r="U4" s="185">
        <f t="shared" si="2"/>
        <v>16</v>
      </c>
      <c r="V4" s="185">
        <f t="shared" si="2"/>
        <v>18</v>
      </c>
      <c r="W4" s="185">
        <f t="shared" si="2"/>
        <v>20</v>
      </c>
      <c r="X4" s="185">
        <f t="shared" si="2"/>
        <v>23</v>
      </c>
      <c r="Y4" s="185">
        <f t="shared" si="2"/>
        <v>25</v>
      </c>
      <c r="Z4" s="185">
        <f t="shared" si="2"/>
        <v>27</v>
      </c>
      <c r="AA4" s="185">
        <f t="shared" si="2"/>
        <v>30</v>
      </c>
      <c r="AB4" s="185">
        <f t="shared" si="2"/>
        <v>32</v>
      </c>
      <c r="AC4" s="185">
        <f t="shared" si="2"/>
        <v>34</v>
      </c>
      <c r="AD4" s="185">
        <f t="shared" si="2"/>
        <v>37</v>
      </c>
      <c r="AE4" s="185">
        <f t="shared" si="2"/>
        <v>40</v>
      </c>
      <c r="AF4" s="185">
        <f t="shared" si="2"/>
        <v>42</v>
      </c>
      <c r="AG4" s="185">
        <f t="shared" si="2"/>
        <v>45</v>
      </c>
      <c r="AH4" s="185">
        <f t="shared" si="2"/>
        <v>48</v>
      </c>
      <c r="AI4" s="185">
        <f t="shared" si="2"/>
        <v>51</v>
      </c>
      <c r="AJ4" s="185">
        <f t="shared" si="2"/>
        <v>53</v>
      </c>
      <c r="AK4" s="185">
        <f t="shared" si="2"/>
        <v>55</v>
      </c>
      <c r="AL4" s="185">
        <f t="shared" si="2"/>
        <v>58</v>
      </c>
      <c r="AM4" s="185">
        <f t="shared" si="2"/>
        <v>60</v>
      </c>
      <c r="AN4" s="185">
        <f t="shared" si="2"/>
        <v>62</v>
      </c>
      <c r="AO4" s="185">
        <f t="shared" si="2"/>
        <v>64</v>
      </c>
      <c r="AP4" s="185">
        <f t="shared" si="2"/>
        <v>66</v>
      </c>
      <c r="AQ4" s="185">
        <f t="shared" si="2"/>
        <v>69</v>
      </c>
      <c r="AR4" s="185">
        <f t="shared" si="2"/>
        <v>71</v>
      </c>
      <c r="AS4" s="185">
        <f t="shared" si="2"/>
        <v>73</v>
      </c>
      <c r="AT4" s="185">
        <f t="shared" si="2"/>
        <v>76</v>
      </c>
      <c r="AU4" s="185">
        <f t="shared" si="2"/>
        <v>80</v>
      </c>
      <c r="AV4" s="185">
        <f t="shared" si="2"/>
        <v>83</v>
      </c>
      <c r="AW4" s="185">
        <f t="shared" si="2"/>
        <v>86</v>
      </c>
      <c r="AX4" s="185">
        <f t="shared" si="2"/>
        <v>92</v>
      </c>
      <c r="AY4" s="185">
        <f t="shared" si="2"/>
        <v>94</v>
      </c>
      <c r="AZ4" s="185">
        <f t="shared" si="2"/>
        <v>98</v>
      </c>
      <c r="BA4" s="185">
        <f t="shared" si="2"/>
        <v>101</v>
      </c>
      <c r="BB4" s="185">
        <f t="shared" si="2"/>
        <v>104</v>
      </c>
      <c r="BC4" s="185">
        <f t="shared" si="2"/>
        <v>107</v>
      </c>
      <c r="BD4" s="24" t="s">
        <v>8</v>
      </c>
      <c r="BE4" s="204">
        <f t="shared" ref="BE4:CP4" si="3">IF(ISBLANK(L4)=TRUE,"",L4)</f>
        <v>-2</v>
      </c>
      <c r="BF4" s="204">
        <f t="shared" si="3"/>
        <v>-1</v>
      </c>
      <c r="BG4" s="204">
        <f t="shared" si="3"/>
        <v>0</v>
      </c>
      <c r="BH4" s="204">
        <f t="shared" si="3"/>
        <v>1</v>
      </c>
      <c r="BI4" s="204">
        <f t="shared" si="3"/>
        <v>2</v>
      </c>
      <c r="BJ4" s="204">
        <f t="shared" si="3"/>
        <v>4</v>
      </c>
      <c r="BK4" s="204">
        <f t="shared" si="3"/>
        <v>7</v>
      </c>
      <c r="BL4" s="204">
        <f t="shared" si="3"/>
        <v>9</v>
      </c>
      <c r="BM4" s="204">
        <f t="shared" si="3"/>
        <v>11</v>
      </c>
      <c r="BN4" s="204">
        <f t="shared" si="3"/>
        <v>16</v>
      </c>
      <c r="BO4" s="204">
        <f t="shared" si="3"/>
        <v>18</v>
      </c>
      <c r="BP4" s="204">
        <f t="shared" si="3"/>
        <v>20</v>
      </c>
      <c r="BQ4" s="204">
        <f t="shared" si="3"/>
        <v>23</v>
      </c>
      <c r="BR4" s="204">
        <f t="shared" si="3"/>
        <v>25</v>
      </c>
      <c r="BS4" s="204">
        <f t="shared" si="3"/>
        <v>27</v>
      </c>
      <c r="BT4" s="204">
        <f t="shared" si="3"/>
        <v>30</v>
      </c>
      <c r="BU4" s="204">
        <f t="shared" si="3"/>
        <v>32</v>
      </c>
      <c r="BV4" s="204">
        <f t="shared" si="3"/>
        <v>34</v>
      </c>
      <c r="BW4" s="204">
        <f t="shared" si="3"/>
        <v>37</v>
      </c>
      <c r="BX4" s="204">
        <f t="shared" si="3"/>
        <v>40</v>
      </c>
      <c r="BY4" s="204">
        <f t="shared" si="3"/>
        <v>42</v>
      </c>
      <c r="BZ4" s="204">
        <f t="shared" si="3"/>
        <v>45</v>
      </c>
      <c r="CA4" s="204">
        <f t="shared" si="3"/>
        <v>48</v>
      </c>
      <c r="CB4" s="204">
        <f t="shared" si="3"/>
        <v>51</v>
      </c>
      <c r="CC4" s="204">
        <f t="shared" si="3"/>
        <v>53</v>
      </c>
      <c r="CD4" s="204">
        <f t="shared" si="3"/>
        <v>55</v>
      </c>
      <c r="CE4" s="204">
        <f t="shared" si="3"/>
        <v>58</v>
      </c>
      <c r="CF4" s="204">
        <f t="shared" si="3"/>
        <v>60</v>
      </c>
      <c r="CG4" s="204">
        <f t="shared" si="3"/>
        <v>62</v>
      </c>
      <c r="CH4" s="204">
        <f t="shared" si="3"/>
        <v>64</v>
      </c>
      <c r="CI4" s="204">
        <f t="shared" si="3"/>
        <v>66</v>
      </c>
      <c r="CJ4" s="204">
        <f t="shared" si="3"/>
        <v>69</v>
      </c>
      <c r="CK4" s="204">
        <f t="shared" si="3"/>
        <v>71</v>
      </c>
      <c r="CL4" s="204">
        <f t="shared" si="3"/>
        <v>73</v>
      </c>
      <c r="CM4" s="204">
        <f t="shared" si="3"/>
        <v>76</v>
      </c>
      <c r="CN4" s="204">
        <f t="shared" si="3"/>
        <v>80</v>
      </c>
      <c r="CO4" s="204">
        <f t="shared" si="3"/>
        <v>83</v>
      </c>
      <c r="CP4" s="204">
        <f t="shared" si="3"/>
        <v>86</v>
      </c>
      <c r="CQ4" s="204">
        <f t="shared" ref="CQ4:CV4" si="4">IF(ISBLANK(AX4)=TRUE,"",AX4)</f>
        <v>92</v>
      </c>
      <c r="CR4" s="204">
        <f t="shared" si="4"/>
        <v>94</v>
      </c>
      <c r="CS4" s="204">
        <f t="shared" si="4"/>
        <v>98</v>
      </c>
      <c r="CT4" s="204">
        <f t="shared" si="4"/>
        <v>101</v>
      </c>
      <c r="CU4" s="204">
        <f t="shared" si="4"/>
        <v>104</v>
      </c>
      <c r="CV4" s="204">
        <f t="shared" si="4"/>
        <v>107</v>
      </c>
      <c r="CW4" s="51"/>
    </row>
    <row r="5" spans="1:101">
      <c r="A5" s="37">
        <v>1066032</v>
      </c>
      <c r="B5" s="1">
        <v>55</v>
      </c>
      <c r="C5" s="27" t="str">
        <f t="shared" ref="C5:C12" si="5">CONCATENATE(A5,"-",B5)</f>
        <v>1066032-55</v>
      </c>
      <c r="D5" s="26" t="s">
        <v>20</v>
      </c>
      <c r="E5" s="34" t="s">
        <v>62</v>
      </c>
      <c r="F5" s="221">
        <v>42850</v>
      </c>
      <c r="G5" s="210" t="s">
        <v>67</v>
      </c>
      <c r="H5" s="83">
        <v>26.6</v>
      </c>
      <c r="I5" s="29">
        <v>42861</v>
      </c>
      <c r="J5" s="83">
        <v>28.5</v>
      </c>
      <c r="K5" s="36"/>
      <c r="L5" s="78">
        <v>27.3</v>
      </c>
      <c r="M5" s="83"/>
      <c r="N5" s="83">
        <v>28.5</v>
      </c>
      <c r="O5" s="83">
        <v>27.7</v>
      </c>
      <c r="P5" s="83">
        <v>28</v>
      </c>
      <c r="Q5" s="83">
        <v>27.8</v>
      </c>
      <c r="R5" s="83">
        <v>27.6</v>
      </c>
      <c r="S5" s="83">
        <v>27.4</v>
      </c>
      <c r="T5" s="83">
        <v>27.1</v>
      </c>
      <c r="U5" s="83">
        <v>28.8</v>
      </c>
      <c r="V5" s="83">
        <v>28.3</v>
      </c>
      <c r="W5" s="83">
        <v>29.3</v>
      </c>
      <c r="X5" s="83">
        <v>27.9</v>
      </c>
      <c r="Y5" s="83">
        <v>28.8</v>
      </c>
      <c r="Z5" s="83">
        <v>28.3</v>
      </c>
      <c r="AA5" s="83">
        <v>28</v>
      </c>
      <c r="AB5" s="83">
        <v>28.3</v>
      </c>
      <c r="AC5" s="83">
        <v>29.4</v>
      </c>
      <c r="AD5" s="83">
        <v>28.9</v>
      </c>
      <c r="AE5" s="83">
        <v>29.5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2"/>
      <c r="BE5" s="73">
        <f t="shared" ref="BE5:BE12" si="6">IF(OR(ISERROR(L5/$J5)=TRUE,ISBLANK(L5)=TRUE),"",L5/$J5)</f>
        <v>0.95789473684210524</v>
      </c>
      <c r="BF5" s="73" t="str">
        <f t="shared" ref="BF5:BF12" si="7">IF(OR(ISERROR(M5/$J5)=TRUE,ISBLANK(M5)=TRUE),"",M5/$J5)</f>
        <v/>
      </c>
      <c r="BG5" s="73">
        <f t="shared" ref="BG5:BG12" si="8">IF(OR(ISERROR(N5/$J5)=TRUE,ISBLANK(N5)=TRUE),"",N5/$J5)</f>
        <v>1</v>
      </c>
      <c r="BH5" s="73">
        <f t="shared" ref="BH5:BH12" si="9">IF(OR(ISERROR(O5/$J5)=TRUE,ISBLANK(O5)=TRUE),"",O5/$J5)</f>
        <v>0.97192982456140353</v>
      </c>
      <c r="BI5" s="73">
        <f t="shared" ref="BI5:BI12" si="10">IF(OR(ISERROR(P5/$J5)=TRUE,ISBLANK(P5)=TRUE),"",P5/$J5)</f>
        <v>0.98245614035087714</v>
      </c>
      <c r="BJ5" s="73">
        <f t="shared" ref="BJ5:BJ12" si="11">IF(OR(ISERROR(Q5/$J5)=TRUE,ISBLANK(Q5)=TRUE),"",Q5/$J5)</f>
        <v>0.9754385964912281</v>
      </c>
      <c r="BK5" s="73">
        <f t="shared" ref="BK5:BK12" si="12">IF(OR(ISERROR(R5/$J5)=TRUE,ISBLANK(R5)=TRUE),"",R5/$J5)</f>
        <v>0.96842105263157896</v>
      </c>
      <c r="BL5" s="73">
        <f t="shared" ref="BL5:BL12" si="13">IF(OR(ISERROR(S5/$J5)=TRUE,ISBLANK(S5)=TRUE),"",S5/$J5)</f>
        <v>0.96140350877192982</v>
      </c>
      <c r="BM5" s="73">
        <f t="shared" ref="BM5:BM12" si="14">IF(OR(ISERROR(T5/$J5)=TRUE,ISBLANK(T5)=TRUE),"",T5/$J5)</f>
        <v>0.95087719298245621</v>
      </c>
      <c r="BN5" s="73">
        <f t="shared" ref="BN5:BN12" si="15">IF(OR(ISERROR(U5/$J5)=TRUE,ISBLANK(U5)=TRUE),"",U5/$J5)</f>
        <v>1.0105263157894737</v>
      </c>
      <c r="BO5" s="73">
        <f t="shared" ref="BO5:BO12" si="16">IF(OR(ISERROR(V5/$J5)=TRUE,ISBLANK(V5)=TRUE),"",V5/$J5)</f>
        <v>0.99298245614035086</v>
      </c>
      <c r="BP5" s="73">
        <f t="shared" ref="BP5:BP12" si="17">IF(OR(ISERROR(W5/$J5)=TRUE,ISBLANK(W5)=TRUE),"",W5/$J5)</f>
        <v>1.0280701754385966</v>
      </c>
      <c r="BQ5" s="73">
        <f t="shared" ref="BQ5:BQ12" si="18">IF(OR(ISERROR(X5/$J5)=TRUE,ISBLANK(X5)=TRUE),"",X5/$J5)</f>
        <v>0.97894736842105257</v>
      </c>
      <c r="BR5" s="73">
        <f t="shared" ref="BR5:BR12" si="19">IF(OR(ISERROR(Y5/$J5)=TRUE,ISBLANK(Y5)=TRUE),"",Y5/$J5)</f>
        <v>1.0105263157894737</v>
      </c>
      <c r="BS5" s="73">
        <f t="shared" ref="BS5:BS12" si="20">IF(OR(ISERROR(Z5/$J5)=TRUE,ISBLANK(Z5)=TRUE),"",Z5/$J5)</f>
        <v>0.99298245614035086</v>
      </c>
      <c r="BT5" s="73">
        <f t="shared" ref="BT5:BT12" si="21">IF(OR(ISERROR(AA5/$J5)=TRUE,ISBLANK(AA5)=TRUE),"",AA5/$J5)</f>
        <v>0.98245614035087714</v>
      </c>
      <c r="BU5" s="73">
        <f t="shared" ref="BU5:BU12" si="22">IF(OR(ISERROR(AB5/$J5)=TRUE,ISBLANK(AB5)=TRUE),"",AB5/$J5)</f>
        <v>0.99298245614035086</v>
      </c>
      <c r="BV5" s="73">
        <f t="shared" ref="BV5:BV12" si="23">IF(OR(ISERROR(AC5/$J5)=TRUE,ISBLANK(AC5)=TRUE),"",AC5/$J5)</f>
        <v>1.0315789473684209</v>
      </c>
      <c r="BW5" s="73">
        <f t="shared" ref="BW5:BW12" si="24">IF(OR(ISERROR(AD5/$J5)=TRUE,ISBLANK(AD5)=TRUE),"",AD5/$J5)</f>
        <v>1.0140350877192983</v>
      </c>
      <c r="BX5" s="73">
        <f t="shared" ref="BX5:BX12" si="25">IF(OR(ISERROR(AE5/$J5)=TRUE,ISBLANK(AE5)=TRUE),"",AE5/$J5)</f>
        <v>1.0350877192982457</v>
      </c>
      <c r="BY5" s="73" t="str">
        <f t="shared" ref="BY5:BY12" si="26">IF(OR(ISERROR(AF5/$J5)=TRUE,ISBLANK(AF5)=TRUE),"",AF5/$J5)</f>
        <v/>
      </c>
      <c r="BZ5" s="73" t="str">
        <f t="shared" ref="BZ5:BZ12" si="27">IF(OR(ISERROR(AG5/$J5)=TRUE,ISBLANK(AG5)=TRUE),"",AG5/$J5)</f>
        <v/>
      </c>
      <c r="CA5" s="73" t="str">
        <f t="shared" ref="CA5:CA12" si="28">IF(OR(ISERROR(AH5/$J5)=TRUE,ISBLANK(AH5)=TRUE),"",AH5/$J5)</f>
        <v/>
      </c>
      <c r="CB5" s="73" t="str">
        <f t="shared" ref="CB5:CB12" si="29">IF(OR(ISERROR(AI5/$J5)=TRUE,ISBLANK(AI5)=TRUE),"",AI5/$J5)</f>
        <v/>
      </c>
      <c r="CC5" s="73" t="str">
        <f t="shared" ref="CC5:CC12" si="30">IF(OR(ISERROR(AJ5/$J5)=TRUE,ISBLANK(AJ5)=TRUE),"",AJ5/$J5)</f>
        <v/>
      </c>
      <c r="CD5" s="73" t="str">
        <f t="shared" ref="CD5:CD12" si="31">IF(OR(ISERROR(AK5/$J5)=TRUE,ISBLANK(AK5)=TRUE),"",AK5/$J5)</f>
        <v/>
      </c>
      <c r="CE5" s="73" t="str">
        <f t="shared" ref="CE5:CE12" si="32">IF(OR(ISERROR(AL5/$J5)=TRUE,ISBLANK(AL5)=TRUE),"",AL5/$J5)</f>
        <v/>
      </c>
      <c r="CF5" s="73" t="str">
        <f t="shared" ref="CF5:CF12" si="33">IF(OR(ISERROR(AM5/$J5)=TRUE,ISBLANK(AM5)=TRUE),"",AM5/$J5)</f>
        <v/>
      </c>
      <c r="CG5" s="73" t="str">
        <f t="shared" ref="CG5:CG12" si="34">IF(OR(ISERROR(AN5/$J5)=TRUE,ISBLANK(AN5)=TRUE),"",AN5/$J5)</f>
        <v/>
      </c>
      <c r="CH5" s="73" t="str">
        <f t="shared" ref="CH5:CH12" si="35">IF(OR(ISERROR(AO5/$J5)=TRUE,ISBLANK(AO5)=TRUE),"",AO5/$J5)</f>
        <v/>
      </c>
      <c r="CI5" s="73" t="str">
        <f t="shared" ref="CI5:CI12" si="36">IF(OR(ISERROR(AP5/$J5)=TRUE,ISBLANK(AP5)=TRUE),"",AP5/$J5)</f>
        <v/>
      </c>
      <c r="CJ5" s="73" t="str">
        <f t="shared" ref="CJ5:CJ12" si="37">IF(OR(ISERROR(AQ5/$J5)=TRUE,ISBLANK(AQ5)=TRUE),"",AQ5/$J5)</f>
        <v/>
      </c>
      <c r="CK5" s="73" t="str">
        <f t="shared" ref="CK5:CK12" si="38">IF(OR(ISERROR(AR5/$J5)=TRUE,ISBLANK(AR5)=TRUE),"",AR5/$J5)</f>
        <v/>
      </c>
      <c r="CL5" s="73" t="str">
        <f t="shared" ref="CL5:CL12" si="39">IF(OR(ISERROR(AS5/$J5)=TRUE,ISBLANK(AS5)=TRUE),"",AS5/$J5)</f>
        <v/>
      </c>
      <c r="CM5" s="73" t="str">
        <f t="shared" ref="CM5:CM12" si="40">IF(OR(ISERROR(AT5/$J5)=TRUE,ISBLANK(AT5)=TRUE),"",AT5/$J5)</f>
        <v/>
      </c>
      <c r="CN5" s="73" t="str">
        <f t="shared" ref="CN5:CN12" si="41">IF(OR(ISERROR(AU5/$J5)=TRUE,ISBLANK(AU5)=TRUE),"",AU5/$J5)</f>
        <v/>
      </c>
      <c r="CO5" s="73" t="str">
        <f t="shared" ref="CO5:CO12" si="42">IF(OR(ISERROR(AV5/$J5)=TRUE,ISBLANK(AV5)=TRUE),"",AV5/$J5)</f>
        <v/>
      </c>
      <c r="CP5" s="73" t="str">
        <f t="shared" ref="CP5:CP12" si="43">IF(OR(ISERROR(AW5/$J5)=TRUE,ISBLANK(AW5)=TRUE),"",AW5/$J5)</f>
        <v/>
      </c>
      <c r="CQ5" s="73" t="str">
        <f t="shared" ref="CQ5:CV12" si="44">IF(OR(ISERROR(AX5/$J5)=TRUE,ISBLANK(AX5)=TRUE),"",AX5/$J5)</f>
        <v/>
      </c>
      <c r="CR5" s="73" t="str">
        <f t="shared" si="44"/>
        <v/>
      </c>
      <c r="CS5" s="73" t="str">
        <f t="shared" si="44"/>
        <v/>
      </c>
      <c r="CT5" s="73" t="str">
        <f t="shared" si="44"/>
        <v/>
      </c>
      <c r="CU5" s="73" t="str">
        <f t="shared" si="44"/>
        <v/>
      </c>
      <c r="CV5" s="73" t="str">
        <f t="shared" si="44"/>
        <v/>
      </c>
      <c r="CW5" s="3"/>
    </row>
    <row r="6" spans="1:101">
      <c r="A6" s="37">
        <v>1066023</v>
      </c>
      <c r="B6" s="1">
        <v>61</v>
      </c>
      <c r="C6" s="27" t="str">
        <f t="shared" si="5"/>
        <v>1066023-61</v>
      </c>
      <c r="D6" s="26" t="s">
        <v>20</v>
      </c>
      <c r="E6" s="34" t="s">
        <v>62</v>
      </c>
      <c r="F6" s="221">
        <v>42850</v>
      </c>
      <c r="G6" s="210" t="s">
        <v>67</v>
      </c>
      <c r="H6" s="83">
        <v>27.5</v>
      </c>
      <c r="I6" s="29">
        <v>42861</v>
      </c>
      <c r="J6" s="83">
        <v>29.6</v>
      </c>
      <c r="K6" s="36"/>
      <c r="L6" s="78">
        <v>28.5</v>
      </c>
      <c r="M6" s="83"/>
      <c r="N6" s="83">
        <v>29.6</v>
      </c>
      <c r="O6" s="83">
        <v>28.7</v>
      </c>
      <c r="P6" s="83">
        <v>29.8</v>
      </c>
      <c r="Q6" s="83">
        <v>29.3</v>
      </c>
      <c r="R6" s="83">
        <v>28.5</v>
      </c>
      <c r="S6" s="83">
        <v>28.6</v>
      </c>
      <c r="T6" s="83">
        <v>28.4</v>
      </c>
      <c r="U6" s="83">
        <v>30</v>
      </c>
      <c r="V6" s="44">
        <v>28.9</v>
      </c>
      <c r="W6" s="83">
        <v>30.3</v>
      </c>
      <c r="X6" s="83">
        <v>29.2</v>
      </c>
      <c r="Y6" s="83">
        <v>29.5</v>
      </c>
      <c r="Z6" s="83">
        <v>29.4</v>
      </c>
      <c r="AA6" s="83">
        <v>27.1</v>
      </c>
      <c r="AB6" s="83">
        <v>28.8</v>
      </c>
      <c r="AC6" s="83">
        <v>30.7</v>
      </c>
      <c r="AD6" s="83">
        <v>30.2</v>
      </c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2"/>
      <c r="BE6" s="73">
        <f t="shared" si="6"/>
        <v>0.96283783783783783</v>
      </c>
      <c r="BF6" s="73" t="str">
        <f t="shared" si="7"/>
        <v/>
      </c>
      <c r="BG6" s="73">
        <f t="shared" si="8"/>
        <v>1</v>
      </c>
      <c r="BH6" s="73">
        <f t="shared" si="9"/>
        <v>0.96959459459459452</v>
      </c>
      <c r="BI6" s="73">
        <f t="shared" si="10"/>
        <v>1.0067567567567568</v>
      </c>
      <c r="BJ6" s="73">
        <f t="shared" si="11"/>
        <v>0.9898648648648648</v>
      </c>
      <c r="BK6" s="73">
        <f t="shared" si="12"/>
        <v>0.96283783783783783</v>
      </c>
      <c r="BL6" s="73">
        <f t="shared" si="13"/>
        <v>0.96621621621621623</v>
      </c>
      <c r="BM6" s="73">
        <f t="shared" si="14"/>
        <v>0.95945945945945932</v>
      </c>
      <c r="BN6" s="73">
        <f t="shared" si="15"/>
        <v>1.0135135135135134</v>
      </c>
      <c r="BO6" s="73">
        <f t="shared" si="16"/>
        <v>0.9763513513513512</v>
      </c>
      <c r="BP6" s="73">
        <f t="shared" si="17"/>
        <v>1.0236486486486487</v>
      </c>
      <c r="BQ6" s="73">
        <f t="shared" si="18"/>
        <v>0.9864864864864864</v>
      </c>
      <c r="BR6" s="73">
        <f t="shared" si="19"/>
        <v>0.9966216216216216</v>
      </c>
      <c r="BS6" s="73">
        <f t="shared" si="20"/>
        <v>0.9932432432432432</v>
      </c>
      <c r="BT6" s="73">
        <f t="shared" si="21"/>
        <v>0.91554054054054057</v>
      </c>
      <c r="BU6" s="73">
        <f t="shared" si="22"/>
        <v>0.97297297297297292</v>
      </c>
      <c r="BV6" s="73">
        <f t="shared" si="23"/>
        <v>1.0371621621621621</v>
      </c>
      <c r="BW6" s="73">
        <f t="shared" si="24"/>
        <v>1.0202702702702702</v>
      </c>
      <c r="BX6" s="73" t="str">
        <f t="shared" si="25"/>
        <v/>
      </c>
      <c r="BY6" s="73" t="str">
        <f t="shared" si="26"/>
        <v/>
      </c>
      <c r="BZ6" s="73" t="str">
        <f t="shared" si="27"/>
        <v/>
      </c>
      <c r="CA6" s="73" t="str">
        <f t="shared" si="28"/>
        <v/>
      </c>
      <c r="CB6" s="73" t="str">
        <f t="shared" si="29"/>
        <v/>
      </c>
      <c r="CC6" s="73" t="str">
        <f t="shared" si="30"/>
        <v/>
      </c>
      <c r="CD6" s="73" t="str">
        <f t="shared" si="31"/>
        <v/>
      </c>
      <c r="CE6" s="73" t="str">
        <f t="shared" si="32"/>
        <v/>
      </c>
      <c r="CF6" s="73" t="str">
        <f t="shared" si="33"/>
        <v/>
      </c>
      <c r="CG6" s="73" t="str">
        <f t="shared" si="34"/>
        <v/>
      </c>
      <c r="CH6" s="73" t="str">
        <f t="shared" si="35"/>
        <v/>
      </c>
      <c r="CI6" s="73" t="str">
        <f t="shared" si="36"/>
        <v/>
      </c>
      <c r="CJ6" s="73" t="str">
        <f t="shared" si="37"/>
        <v/>
      </c>
      <c r="CK6" s="73" t="str">
        <f t="shared" si="38"/>
        <v/>
      </c>
      <c r="CL6" s="73" t="str">
        <f t="shared" si="39"/>
        <v/>
      </c>
      <c r="CM6" s="73" t="str">
        <f t="shared" si="40"/>
        <v/>
      </c>
      <c r="CN6" s="73" t="str">
        <f t="shared" si="41"/>
        <v/>
      </c>
      <c r="CO6" s="73" t="str">
        <f t="shared" si="42"/>
        <v/>
      </c>
      <c r="CP6" s="73" t="str">
        <f t="shared" si="43"/>
        <v/>
      </c>
      <c r="CQ6" s="73" t="str">
        <f t="shared" si="44"/>
        <v/>
      </c>
      <c r="CR6" s="73" t="str">
        <f t="shared" si="44"/>
        <v/>
      </c>
      <c r="CS6" s="73" t="str">
        <f t="shared" si="44"/>
        <v/>
      </c>
      <c r="CT6" s="73" t="str">
        <f t="shared" si="44"/>
        <v/>
      </c>
      <c r="CU6" s="73" t="str">
        <f t="shared" si="44"/>
        <v/>
      </c>
      <c r="CV6" s="73" t="str">
        <f t="shared" si="44"/>
        <v/>
      </c>
      <c r="CW6" s="3"/>
    </row>
    <row r="7" spans="1:101">
      <c r="A7" s="37">
        <v>1066023</v>
      </c>
      <c r="B7" s="1">
        <v>62</v>
      </c>
      <c r="C7" s="27" t="str">
        <f t="shared" si="5"/>
        <v>1066023-62</v>
      </c>
      <c r="D7" s="26" t="s">
        <v>20</v>
      </c>
      <c r="E7" s="34" t="s">
        <v>63</v>
      </c>
      <c r="F7" s="221">
        <v>42850</v>
      </c>
      <c r="G7" s="210" t="s">
        <v>67</v>
      </c>
      <c r="H7" s="83">
        <v>24.1</v>
      </c>
      <c r="I7" s="29">
        <v>42861</v>
      </c>
      <c r="J7" s="83">
        <v>24.5</v>
      </c>
      <c r="K7" s="36"/>
      <c r="L7" s="78">
        <v>24.3</v>
      </c>
      <c r="M7" s="83"/>
      <c r="N7" s="83">
        <v>24.5</v>
      </c>
      <c r="O7" s="83">
        <v>24.3</v>
      </c>
      <c r="P7" s="83">
        <v>22.8</v>
      </c>
      <c r="Q7" s="83">
        <v>24</v>
      </c>
      <c r="R7" s="83">
        <v>24</v>
      </c>
      <c r="S7" s="83">
        <v>24.4</v>
      </c>
      <c r="T7" s="83">
        <v>24</v>
      </c>
      <c r="U7" s="83">
        <v>25.7</v>
      </c>
      <c r="V7" s="83">
        <v>23.7</v>
      </c>
      <c r="W7" s="83">
        <v>25.2</v>
      </c>
      <c r="X7" s="83">
        <v>24.3</v>
      </c>
      <c r="Y7" s="83">
        <v>25.5</v>
      </c>
      <c r="Z7" s="83">
        <v>25.3</v>
      </c>
      <c r="AA7" s="83">
        <v>21.7</v>
      </c>
      <c r="AB7" s="83">
        <v>24.2</v>
      </c>
      <c r="AC7" s="83">
        <v>25.8</v>
      </c>
      <c r="AD7" s="83">
        <v>24.5</v>
      </c>
      <c r="AE7" s="83">
        <v>25.3</v>
      </c>
      <c r="AF7" s="83">
        <v>24.3</v>
      </c>
      <c r="AG7" s="83">
        <v>21.9</v>
      </c>
      <c r="AH7" s="83">
        <v>22.3</v>
      </c>
      <c r="AI7" s="83">
        <v>25.4</v>
      </c>
      <c r="AJ7" s="83">
        <v>24.7</v>
      </c>
      <c r="AK7" s="83">
        <v>21.9</v>
      </c>
      <c r="AL7" s="83">
        <v>23.1</v>
      </c>
      <c r="AM7" s="83">
        <v>24</v>
      </c>
      <c r="AN7" s="83">
        <v>25</v>
      </c>
      <c r="AO7" s="83">
        <v>27.2</v>
      </c>
      <c r="AP7" s="83">
        <v>26.5</v>
      </c>
      <c r="AQ7" s="83">
        <v>24.8</v>
      </c>
      <c r="AR7" s="83">
        <v>24</v>
      </c>
      <c r="AS7" s="83">
        <v>23.1</v>
      </c>
      <c r="AT7" s="83">
        <v>23.9</v>
      </c>
      <c r="AU7" s="83">
        <v>26.4</v>
      </c>
      <c r="AV7" s="83">
        <v>26.8</v>
      </c>
      <c r="AW7" s="83">
        <v>25.8</v>
      </c>
      <c r="AX7" s="83">
        <v>27.8</v>
      </c>
      <c r="AY7" s="83">
        <v>28.1</v>
      </c>
      <c r="AZ7" s="83">
        <v>27.4</v>
      </c>
      <c r="BA7" s="83"/>
      <c r="BB7" s="83"/>
      <c r="BC7" s="83"/>
      <c r="BD7" s="2"/>
      <c r="BE7" s="73">
        <f t="shared" si="6"/>
        <v>0.99183673469387756</v>
      </c>
      <c r="BF7" s="73" t="str">
        <f t="shared" si="7"/>
        <v/>
      </c>
      <c r="BG7" s="73">
        <f t="shared" si="8"/>
        <v>1</v>
      </c>
      <c r="BH7" s="73">
        <f t="shared" si="9"/>
        <v>0.99183673469387756</v>
      </c>
      <c r="BI7" s="73">
        <f t="shared" si="10"/>
        <v>0.93061224489795924</v>
      </c>
      <c r="BJ7" s="73">
        <f t="shared" si="11"/>
        <v>0.97959183673469385</v>
      </c>
      <c r="BK7" s="73">
        <f t="shared" si="12"/>
        <v>0.97959183673469385</v>
      </c>
      <c r="BL7" s="73">
        <f t="shared" si="13"/>
        <v>0.99591836734693873</v>
      </c>
      <c r="BM7" s="73">
        <f t="shared" si="14"/>
        <v>0.97959183673469385</v>
      </c>
      <c r="BN7" s="73">
        <f t="shared" si="15"/>
        <v>1.0489795918367346</v>
      </c>
      <c r="BO7" s="73">
        <f t="shared" si="16"/>
        <v>0.96734693877551015</v>
      </c>
      <c r="BP7" s="73">
        <f t="shared" si="17"/>
        <v>1.0285714285714285</v>
      </c>
      <c r="BQ7" s="73">
        <f t="shared" si="18"/>
        <v>0.99183673469387756</v>
      </c>
      <c r="BR7" s="73">
        <f t="shared" si="19"/>
        <v>1.0408163265306123</v>
      </c>
      <c r="BS7" s="73">
        <f t="shared" si="20"/>
        <v>1.0326530612244897</v>
      </c>
      <c r="BT7" s="73">
        <f t="shared" si="21"/>
        <v>0.88571428571428568</v>
      </c>
      <c r="BU7" s="73">
        <f t="shared" si="22"/>
        <v>0.98775510204081629</v>
      </c>
      <c r="BV7" s="73">
        <f t="shared" si="23"/>
        <v>1.0530612244897959</v>
      </c>
      <c r="BW7" s="73">
        <f t="shared" si="24"/>
        <v>1</v>
      </c>
      <c r="BX7" s="73">
        <f t="shared" si="25"/>
        <v>1.0326530612244897</v>
      </c>
      <c r="BY7" s="73">
        <f t="shared" si="26"/>
        <v>0.99183673469387756</v>
      </c>
      <c r="BZ7" s="73">
        <f t="shared" si="27"/>
        <v>0.89387755102040811</v>
      </c>
      <c r="CA7" s="73">
        <f t="shared" si="28"/>
        <v>0.91020408163265309</v>
      </c>
      <c r="CB7" s="73">
        <f t="shared" si="29"/>
        <v>1.036734693877551</v>
      </c>
      <c r="CC7" s="73">
        <f t="shared" si="30"/>
        <v>1.0081632653061223</v>
      </c>
      <c r="CD7" s="73">
        <f t="shared" si="31"/>
        <v>0.89387755102040811</v>
      </c>
      <c r="CE7" s="73">
        <f t="shared" si="32"/>
        <v>0.94285714285714295</v>
      </c>
      <c r="CF7" s="73">
        <f t="shared" si="33"/>
        <v>0.97959183673469385</v>
      </c>
      <c r="CG7" s="73">
        <f t="shared" si="34"/>
        <v>1.0204081632653061</v>
      </c>
      <c r="CH7" s="73">
        <f t="shared" si="35"/>
        <v>1.1102040816326531</v>
      </c>
      <c r="CI7" s="73">
        <f t="shared" si="36"/>
        <v>1.0816326530612246</v>
      </c>
      <c r="CJ7" s="73">
        <f t="shared" si="37"/>
        <v>1.0122448979591836</v>
      </c>
      <c r="CK7" s="73">
        <f t="shared" si="38"/>
        <v>0.97959183673469385</v>
      </c>
      <c r="CL7" s="73">
        <f t="shared" si="39"/>
        <v>0.94285714285714295</v>
      </c>
      <c r="CM7" s="73">
        <f t="shared" si="40"/>
        <v>0.97551020408163258</v>
      </c>
      <c r="CN7" s="73">
        <f t="shared" si="41"/>
        <v>1.0775510204081633</v>
      </c>
      <c r="CO7" s="73">
        <f t="shared" si="42"/>
        <v>1.0938775510204082</v>
      </c>
      <c r="CP7" s="73">
        <f t="shared" si="43"/>
        <v>1.0530612244897959</v>
      </c>
      <c r="CQ7" s="73">
        <f t="shared" si="44"/>
        <v>1.1346938775510205</v>
      </c>
      <c r="CR7" s="73">
        <f t="shared" si="44"/>
        <v>1.1469387755102041</v>
      </c>
      <c r="CS7" s="73">
        <f t="shared" si="44"/>
        <v>1.1183673469387754</v>
      </c>
      <c r="CT7" s="73" t="str">
        <f t="shared" si="44"/>
        <v/>
      </c>
      <c r="CU7" s="73" t="str">
        <f t="shared" si="44"/>
        <v/>
      </c>
      <c r="CV7" s="73" t="str">
        <f t="shared" si="44"/>
        <v/>
      </c>
      <c r="CW7" s="3"/>
    </row>
    <row r="8" spans="1:101">
      <c r="A8" s="37">
        <v>1066023</v>
      </c>
      <c r="B8" s="1">
        <v>63</v>
      </c>
      <c r="C8" s="27" t="str">
        <f t="shared" si="5"/>
        <v>1066023-63</v>
      </c>
      <c r="D8" s="26" t="s">
        <v>20</v>
      </c>
      <c r="E8" s="34" t="s">
        <v>63</v>
      </c>
      <c r="F8" s="221">
        <v>42850</v>
      </c>
      <c r="G8" s="210" t="s">
        <v>67</v>
      </c>
      <c r="H8" s="83">
        <v>26.8</v>
      </c>
      <c r="I8" s="29">
        <v>42861</v>
      </c>
      <c r="J8" s="83">
        <v>27.4</v>
      </c>
      <c r="K8" s="36"/>
      <c r="L8" s="78">
        <v>26.7</v>
      </c>
      <c r="M8" s="83"/>
      <c r="N8" s="83">
        <v>27.4</v>
      </c>
      <c r="O8" s="83">
        <v>26.7</v>
      </c>
      <c r="P8" s="83">
        <v>26.9</v>
      </c>
      <c r="Q8" s="83">
        <v>26.9</v>
      </c>
      <c r="R8" s="83">
        <v>26.6</v>
      </c>
      <c r="S8" s="83">
        <v>26.4</v>
      </c>
      <c r="T8" s="83">
        <v>26.7</v>
      </c>
      <c r="U8" s="83">
        <v>27.3</v>
      </c>
      <c r="V8" s="83">
        <v>26.8</v>
      </c>
      <c r="W8" s="83">
        <v>28.2</v>
      </c>
      <c r="X8" s="83">
        <v>27.3</v>
      </c>
      <c r="Y8" s="83">
        <v>28</v>
      </c>
      <c r="Z8" s="83">
        <v>27.6</v>
      </c>
      <c r="AA8" s="83">
        <v>24.8</v>
      </c>
      <c r="AB8" s="83">
        <v>27.4</v>
      </c>
      <c r="AC8" s="83">
        <v>28.3</v>
      </c>
      <c r="AD8" s="83">
        <v>27.3</v>
      </c>
      <c r="AE8" s="83">
        <v>27.4</v>
      </c>
      <c r="AF8" s="83">
        <v>27.6</v>
      </c>
      <c r="AG8" s="83">
        <v>27.4</v>
      </c>
      <c r="AH8" s="83">
        <v>28.2</v>
      </c>
      <c r="AI8" s="83">
        <v>28.5</v>
      </c>
      <c r="AJ8" s="83">
        <v>28.7</v>
      </c>
      <c r="AK8" s="83">
        <v>27.7</v>
      </c>
      <c r="AL8" s="83">
        <v>28.4</v>
      </c>
      <c r="AM8" s="83">
        <v>28.6</v>
      </c>
      <c r="AN8" s="83">
        <v>29</v>
      </c>
      <c r="AO8" s="83">
        <v>29.4</v>
      </c>
      <c r="AP8" s="83">
        <v>29.6</v>
      </c>
      <c r="AQ8" s="83">
        <v>29.7</v>
      </c>
      <c r="AR8" s="83">
        <v>29.6</v>
      </c>
      <c r="AS8" s="83">
        <v>29.3</v>
      </c>
      <c r="AT8" s="83">
        <v>28.8</v>
      </c>
      <c r="AU8" s="83">
        <v>28.8</v>
      </c>
      <c r="AV8" s="83">
        <v>29.8</v>
      </c>
      <c r="AW8" s="83">
        <v>29.8</v>
      </c>
      <c r="AX8" s="83">
        <v>28.9</v>
      </c>
      <c r="AY8" s="83">
        <v>29.5</v>
      </c>
      <c r="AZ8" s="83">
        <v>29.1</v>
      </c>
      <c r="BA8" s="83">
        <v>29.3</v>
      </c>
      <c r="BB8" s="83">
        <v>29.8</v>
      </c>
      <c r="BC8" s="83">
        <v>29.5</v>
      </c>
      <c r="BD8" s="2"/>
      <c r="BE8" s="73">
        <f t="shared" si="6"/>
        <v>0.97445255474452552</v>
      </c>
      <c r="BF8" s="73" t="str">
        <f t="shared" si="7"/>
        <v/>
      </c>
      <c r="BG8" s="73">
        <f t="shared" si="8"/>
        <v>1</v>
      </c>
      <c r="BH8" s="73">
        <f t="shared" si="9"/>
        <v>0.97445255474452552</v>
      </c>
      <c r="BI8" s="73">
        <f t="shared" si="10"/>
        <v>0.98175182481751821</v>
      </c>
      <c r="BJ8" s="73">
        <f t="shared" si="11"/>
        <v>0.98175182481751821</v>
      </c>
      <c r="BK8" s="73">
        <f t="shared" si="12"/>
        <v>0.97080291970802934</v>
      </c>
      <c r="BL8" s="73">
        <f t="shared" si="13"/>
        <v>0.96350364963503654</v>
      </c>
      <c r="BM8" s="73">
        <f t="shared" si="14"/>
        <v>0.97445255474452552</v>
      </c>
      <c r="BN8" s="73">
        <f t="shared" si="15"/>
        <v>0.99635036496350371</v>
      </c>
      <c r="BO8" s="73">
        <f t="shared" si="16"/>
        <v>0.97810218978102192</v>
      </c>
      <c r="BP8" s="73">
        <f t="shared" si="17"/>
        <v>1.0291970802919708</v>
      </c>
      <c r="BQ8" s="73">
        <f t="shared" si="18"/>
        <v>0.99635036496350371</v>
      </c>
      <c r="BR8" s="73">
        <f t="shared" si="19"/>
        <v>1.0218978102189782</v>
      </c>
      <c r="BS8" s="73">
        <f t="shared" si="20"/>
        <v>1.0072992700729928</v>
      </c>
      <c r="BT8" s="73">
        <f t="shared" si="21"/>
        <v>0.90510948905109501</v>
      </c>
      <c r="BU8" s="73">
        <f t="shared" si="22"/>
        <v>1</v>
      </c>
      <c r="BV8" s="73">
        <f t="shared" si="23"/>
        <v>1.0328467153284673</v>
      </c>
      <c r="BW8" s="73">
        <f t="shared" si="24"/>
        <v>0.99635036496350371</v>
      </c>
      <c r="BX8" s="73">
        <f t="shared" si="25"/>
        <v>1</v>
      </c>
      <c r="BY8" s="73">
        <f t="shared" si="26"/>
        <v>1.0072992700729928</v>
      </c>
      <c r="BZ8" s="73">
        <f t="shared" si="27"/>
        <v>1</v>
      </c>
      <c r="CA8" s="73">
        <f t="shared" si="28"/>
        <v>1.0291970802919708</v>
      </c>
      <c r="CB8" s="73">
        <f t="shared" si="29"/>
        <v>1.0401459854014599</v>
      </c>
      <c r="CC8" s="73">
        <f t="shared" si="30"/>
        <v>1.0474452554744527</v>
      </c>
      <c r="CD8" s="73">
        <f t="shared" si="31"/>
        <v>1.0109489051094891</v>
      </c>
      <c r="CE8" s="73">
        <f t="shared" si="32"/>
        <v>1.0364963503649636</v>
      </c>
      <c r="CF8" s="73">
        <f t="shared" si="33"/>
        <v>1.0437956204379564</v>
      </c>
      <c r="CG8" s="73">
        <f t="shared" si="34"/>
        <v>1.0583941605839418</v>
      </c>
      <c r="CH8" s="73">
        <f t="shared" si="35"/>
        <v>1.0729927007299269</v>
      </c>
      <c r="CI8" s="73">
        <f t="shared" si="36"/>
        <v>1.0802919708029197</v>
      </c>
      <c r="CJ8" s="73">
        <f t="shared" si="37"/>
        <v>1.083941605839416</v>
      </c>
      <c r="CK8" s="73">
        <f t="shared" si="38"/>
        <v>1.0802919708029197</v>
      </c>
      <c r="CL8" s="73">
        <f t="shared" si="39"/>
        <v>1.0693430656934306</v>
      </c>
      <c r="CM8" s="73">
        <f t="shared" si="40"/>
        <v>1.051094890510949</v>
      </c>
      <c r="CN8" s="73">
        <f t="shared" si="41"/>
        <v>1.051094890510949</v>
      </c>
      <c r="CO8" s="73">
        <f t="shared" si="42"/>
        <v>1.0875912408759125</v>
      </c>
      <c r="CP8" s="73">
        <f t="shared" si="43"/>
        <v>1.0875912408759125</v>
      </c>
      <c r="CQ8" s="73">
        <f t="shared" si="44"/>
        <v>1.0547445255474452</v>
      </c>
      <c r="CR8" s="73">
        <f t="shared" si="44"/>
        <v>1.0766423357664234</v>
      </c>
      <c r="CS8" s="73">
        <f t="shared" si="44"/>
        <v>1.062043795620438</v>
      </c>
      <c r="CT8" s="73">
        <f t="shared" si="44"/>
        <v>1.0693430656934306</v>
      </c>
      <c r="CU8" s="73">
        <f t="shared" si="44"/>
        <v>1.0875912408759125</v>
      </c>
      <c r="CV8" s="73">
        <f t="shared" si="44"/>
        <v>1.0766423357664234</v>
      </c>
      <c r="CW8" s="3"/>
    </row>
    <row r="9" spans="1:101">
      <c r="A9" s="37">
        <v>1066023</v>
      </c>
      <c r="B9" s="1">
        <v>64</v>
      </c>
      <c r="C9" s="27" t="str">
        <f t="shared" si="5"/>
        <v>1066023-64</v>
      </c>
      <c r="D9" s="26" t="s">
        <v>20</v>
      </c>
      <c r="E9" s="34" t="s">
        <v>63</v>
      </c>
      <c r="F9" s="221">
        <v>42850</v>
      </c>
      <c r="G9" s="210" t="s">
        <v>67</v>
      </c>
      <c r="H9" s="83">
        <v>30.2</v>
      </c>
      <c r="I9" s="29">
        <v>42861</v>
      </c>
      <c r="J9" s="83">
        <v>31.5</v>
      </c>
      <c r="K9" s="36"/>
      <c r="L9" s="78">
        <v>31.5</v>
      </c>
      <c r="M9" s="83"/>
      <c r="N9" s="83">
        <v>31.5</v>
      </c>
      <c r="O9" s="83">
        <v>30.5</v>
      </c>
      <c r="P9" s="83">
        <v>30.6</v>
      </c>
      <c r="Q9" s="83">
        <v>30.9</v>
      </c>
      <c r="R9" s="83">
        <v>30</v>
      </c>
      <c r="S9" s="83">
        <v>30.9</v>
      </c>
      <c r="T9" s="83">
        <v>30.4</v>
      </c>
      <c r="U9" s="83">
        <v>33.200000000000003</v>
      </c>
      <c r="V9" s="83">
        <v>32.200000000000003</v>
      </c>
      <c r="W9" s="83">
        <v>33.299999999999997</v>
      </c>
      <c r="X9" s="83">
        <v>33.200000000000003</v>
      </c>
      <c r="Y9" s="83">
        <v>33.299999999999997</v>
      </c>
      <c r="Z9" s="83">
        <v>32.299999999999997</v>
      </c>
      <c r="AA9" s="83">
        <v>29.4</v>
      </c>
      <c r="AB9" s="83">
        <v>31.1</v>
      </c>
      <c r="AC9" s="83">
        <v>33.5</v>
      </c>
      <c r="AD9" s="83">
        <v>33.299999999999997</v>
      </c>
      <c r="AE9" s="83">
        <v>34.1</v>
      </c>
      <c r="AF9" s="83">
        <v>33.1</v>
      </c>
      <c r="AG9" s="83">
        <v>33.200000000000003</v>
      </c>
      <c r="AH9" s="83">
        <v>34.200000000000003</v>
      </c>
      <c r="AI9" s="83">
        <v>34.700000000000003</v>
      </c>
      <c r="AJ9" s="83">
        <v>34.200000000000003</v>
      </c>
      <c r="AK9" s="83">
        <v>33.6</v>
      </c>
      <c r="AL9" s="83">
        <v>34.299999999999997</v>
      </c>
      <c r="AM9" s="83">
        <v>34.799999999999997</v>
      </c>
      <c r="AN9" s="83">
        <v>34.299999999999997</v>
      </c>
      <c r="AO9" s="83">
        <v>35</v>
      </c>
      <c r="AP9" s="83">
        <v>35.299999999999997</v>
      </c>
      <c r="AQ9" s="83">
        <v>36.4</v>
      </c>
      <c r="AR9" s="83">
        <v>35.5</v>
      </c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2"/>
      <c r="BE9" s="73">
        <f t="shared" si="6"/>
        <v>1</v>
      </c>
      <c r="BF9" s="73" t="str">
        <f t="shared" si="7"/>
        <v/>
      </c>
      <c r="BG9" s="73">
        <f t="shared" si="8"/>
        <v>1</v>
      </c>
      <c r="BH9" s="73">
        <f t="shared" si="9"/>
        <v>0.96825396825396826</v>
      </c>
      <c r="BI9" s="73">
        <f t="shared" si="10"/>
        <v>0.97142857142857142</v>
      </c>
      <c r="BJ9" s="73">
        <f t="shared" si="11"/>
        <v>0.98095238095238091</v>
      </c>
      <c r="BK9" s="73">
        <f t="shared" si="12"/>
        <v>0.95238095238095233</v>
      </c>
      <c r="BL9" s="73">
        <f t="shared" si="13"/>
        <v>0.98095238095238091</v>
      </c>
      <c r="BM9" s="73">
        <f t="shared" si="14"/>
        <v>0.96507936507936498</v>
      </c>
      <c r="BN9" s="73">
        <f t="shared" si="15"/>
        <v>1.053968253968254</v>
      </c>
      <c r="BO9" s="73">
        <f t="shared" si="16"/>
        <v>1.0222222222222224</v>
      </c>
      <c r="BP9" s="73">
        <f t="shared" si="17"/>
        <v>1.0571428571428572</v>
      </c>
      <c r="BQ9" s="73">
        <f t="shared" si="18"/>
        <v>1.053968253968254</v>
      </c>
      <c r="BR9" s="73">
        <f t="shared" si="19"/>
        <v>1.0571428571428572</v>
      </c>
      <c r="BS9" s="73">
        <f t="shared" si="20"/>
        <v>1.0253968253968253</v>
      </c>
      <c r="BT9" s="73">
        <f t="shared" si="21"/>
        <v>0.93333333333333324</v>
      </c>
      <c r="BU9" s="73">
        <f t="shared" si="22"/>
        <v>0.98730158730158735</v>
      </c>
      <c r="BV9" s="73">
        <f t="shared" si="23"/>
        <v>1.0634920634920635</v>
      </c>
      <c r="BW9" s="73">
        <f t="shared" si="24"/>
        <v>1.0571428571428572</v>
      </c>
      <c r="BX9" s="73">
        <f t="shared" si="25"/>
        <v>1.0825396825396827</v>
      </c>
      <c r="BY9" s="73">
        <f t="shared" si="26"/>
        <v>1.0507936507936508</v>
      </c>
      <c r="BZ9" s="73">
        <f t="shared" si="27"/>
        <v>1.053968253968254</v>
      </c>
      <c r="CA9" s="73">
        <f t="shared" si="28"/>
        <v>1.0857142857142859</v>
      </c>
      <c r="CB9" s="73">
        <f t="shared" si="29"/>
        <v>1.1015873015873017</v>
      </c>
      <c r="CC9" s="73">
        <f t="shared" si="30"/>
        <v>1.0857142857142859</v>
      </c>
      <c r="CD9" s="73">
        <f t="shared" si="31"/>
        <v>1.0666666666666667</v>
      </c>
      <c r="CE9" s="73">
        <f t="shared" si="32"/>
        <v>1.0888888888888888</v>
      </c>
      <c r="CF9" s="73">
        <f t="shared" si="33"/>
        <v>1.1047619047619046</v>
      </c>
      <c r="CG9" s="73">
        <f t="shared" si="34"/>
        <v>1.0888888888888888</v>
      </c>
      <c r="CH9" s="73">
        <f t="shared" si="35"/>
        <v>1.1111111111111112</v>
      </c>
      <c r="CI9" s="73">
        <f t="shared" si="36"/>
        <v>1.1206349206349207</v>
      </c>
      <c r="CJ9" s="73">
        <f t="shared" si="37"/>
        <v>1.1555555555555554</v>
      </c>
      <c r="CK9" s="73">
        <f t="shared" si="38"/>
        <v>1.126984126984127</v>
      </c>
      <c r="CL9" s="73" t="str">
        <f t="shared" si="39"/>
        <v/>
      </c>
      <c r="CM9" s="73" t="str">
        <f t="shared" si="40"/>
        <v/>
      </c>
      <c r="CN9" s="73" t="str">
        <f t="shared" si="41"/>
        <v/>
      </c>
      <c r="CO9" s="73" t="str">
        <f t="shared" si="42"/>
        <v/>
      </c>
      <c r="CP9" s="73" t="str">
        <f t="shared" si="43"/>
        <v/>
      </c>
      <c r="CQ9" s="73" t="str">
        <f t="shared" si="44"/>
        <v/>
      </c>
      <c r="CR9" s="73" t="str">
        <f t="shared" si="44"/>
        <v/>
      </c>
      <c r="CS9" s="73" t="str">
        <f t="shared" si="44"/>
        <v/>
      </c>
      <c r="CT9" s="73" t="str">
        <f t="shared" si="44"/>
        <v/>
      </c>
      <c r="CU9" s="73" t="str">
        <f t="shared" si="44"/>
        <v/>
      </c>
      <c r="CV9" s="73" t="str">
        <f t="shared" si="44"/>
        <v/>
      </c>
      <c r="CW9" s="3"/>
    </row>
    <row r="10" spans="1:101">
      <c r="A10" s="37">
        <v>1066023</v>
      </c>
      <c r="B10" s="1">
        <v>65</v>
      </c>
      <c r="C10" s="27" t="str">
        <f t="shared" si="5"/>
        <v>1066023-65</v>
      </c>
      <c r="D10" s="26" t="s">
        <v>20</v>
      </c>
      <c r="E10" s="34" t="s">
        <v>62</v>
      </c>
      <c r="F10" s="221">
        <v>42850</v>
      </c>
      <c r="G10" s="210" t="s">
        <v>67</v>
      </c>
      <c r="H10" s="83">
        <v>23.4</v>
      </c>
      <c r="I10" s="29">
        <v>42861</v>
      </c>
      <c r="J10" s="83">
        <v>24.1</v>
      </c>
      <c r="K10" s="36"/>
      <c r="L10" s="78">
        <v>24</v>
      </c>
      <c r="M10" s="83"/>
      <c r="N10" s="83">
        <v>24.1</v>
      </c>
      <c r="O10" s="83">
        <v>23.5</v>
      </c>
      <c r="P10" s="83">
        <v>22</v>
      </c>
      <c r="Q10" s="83">
        <v>23.9</v>
      </c>
      <c r="R10" s="83">
        <v>23.9</v>
      </c>
      <c r="S10" s="83">
        <v>23.2</v>
      </c>
      <c r="T10" s="83">
        <v>23.2</v>
      </c>
      <c r="U10" s="83">
        <v>25</v>
      </c>
      <c r="V10" s="83">
        <v>24.5</v>
      </c>
      <c r="W10" s="83">
        <v>25.4</v>
      </c>
      <c r="X10" s="83">
        <v>25.1</v>
      </c>
      <c r="Y10" s="83">
        <v>25</v>
      </c>
      <c r="Z10" s="83">
        <v>24.5</v>
      </c>
      <c r="AA10" s="83">
        <v>22.3</v>
      </c>
      <c r="AB10" s="83">
        <v>24.2</v>
      </c>
      <c r="AC10" s="83">
        <v>25.8</v>
      </c>
      <c r="AD10" s="83">
        <v>24.9</v>
      </c>
      <c r="AE10" s="83">
        <v>25.7</v>
      </c>
      <c r="AF10" s="83">
        <v>25.3</v>
      </c>
      <c r="AG10" s="83">
        <v>25.7</v>
      </c>
      <c r="AH10" s="83">
        <v>26.3</v>
      </c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2"/>
      <c r="BE10" s="73">
        <f t="shared" si="6"/>
        <v>0.99585062240663891</v>
      </c>
      <c r="BF10" s="73" t="str">
        <f t="shared" si="7"/>
        <v/>
      </c>
      <c r="BG10" s="73">
        <f t="shared" si="8"/>
        <v>1</v>
      </c>
      <c r="BH10" s="73">
        <f t="shared" si="9"/>
        <v>0.975103734439834</v>
      </c>
      <c r="BI10" s="73">
        <f t="shared" si="10"/>
        <v>0.91286307053941906</v>
      </c>
      <c r="BJ10" s="73">
        <f t="shared" si="11"/>
        <v>0.99170124481327793</v>
      </c>
      <c r="BK10" s="73">
        <f t="shared" si="12"/>
        <v>0.99170124481327793</v>
      </c>
      <c r="BL10" s="73">
        <f t="shared" si="13"/>
        <v>0.96265560165975095</v>
      </c>
      <c r="BM10" s="73">
        <f t="shared" si="14"/>
        <v>0.96265560165975095</v>
      </c>
      <c r="BN10" s="73">
        <f t="shared" si="15"/>
        <v>1.0373443983402488</v>
      </c>
      <c r="BO10" s="73">
        <f t="shared" si="16"/>
        <v>1.0165975103734439</v>
      </c>
      <c r="BP10" s="73">
        <f t="shared" si="17"/>
        <v>1.0539419087136928</v>
      </c>
      <c r="BQ10" s="73">
        <f t="shared" si="18"/>
        <v>1.04149377593361</v>
      </c>
      <c r="BR10" s="73">
        <f t="shared" si="19"/>
        <v>1.0373443983402488</v>
      </c>
      <c r="BS10" s="73">
        <f t="shared" si="20"/>
        <v>1.0165975103734439</v>
      </c>
      <c r="BT10" s="73">
        <f t="shared" si="21"/>
        <v>0.92531120331950201</v>
      </c>
      <c r="BU10" s="73">
        <f t="shared" si="22"/>
        <v>1.004149377593361</v>
      </c>
      <c r="BV10" s="73">
        <f t="shared" si="23"/>
        <v>1.0705394190871369</v>
      </c>
      <c r="BW10" s="73">
        <f t="shared" si="24"/>
        <v>1.0331950207468878</v>
      </c>
      <c r="BX10" s="73">
        <f t="shared" si="25"/>
        <v>1.0663900414937759</v>
      </c>
      <c r="BY10" s="73">
        <f t="shared" si="26"/>
        <v>1.049792531120332</v>
      </c>
      <c r="BZ10" s="73">
        <f t="shared" si="27"/>
        <v>1.0663900414937759</v>
      </c>
      <c r="CA10" s="73">
        <f t="shared" si="28"/>
        <v>1.0912863070539418</v>
      </c>
      <c r="CB10" s="73" t="str">
        <f t="shared" si="29"/>
        <v/>
      </c>
      <c r="CC10" s="73" t="str">
        <f t="shared" si="30"/>
        <v/>
      </c>
      <c r="CD10" s="73" t="str">
        <f t="shared" si="31"/>
        <v/>
      </c>
      <c r="CE10" s="73" t="str">
        <f t="shared" si="32"/>
        <v/>
      </c>
      <c r="CF10" s="73" t="str">
        <f t="shared" si="33"/>
        <v/>
      </c>
      <c r="CG10" s="73" t="str">
        <f t="shared" si="34"/>
        <v/>
      </c>
      <c r="CH10" s="73" t="str">
        <f t="shared" si="35"/>
        <v/>
      </c>
      <c r="CI10" s="73" t="str">
        <f t="shared" si="36"/>
        <v/>
      </c>
      <c r="CJ10" s="73" t="str">
        <f t="shared" si="37"/>
        <v/>
      </c>
      <c r="CK10" s="73" t="str">
        <f t="shared" si="38"/>
        <v/>
      </c>
      <c r="CL10" s="73" t="str">
        <f t="shared" si="39"/>
        <v/>
      </c>
      <c r="CM10" s="73" t="str">
        <f t="shared" si="40"/>
        <v/>
      </c>
      <c r="CN10" s="73" t="str">
        <f t="shared" si="41"/>
        <v/>
      </c>
      <c r="CO10" s="73" t="str">
        <f t="shared" si="42"/>
        <v/>
      </c>
      <c r="CP10" s="73" t="str">
        <f t="shared" si="43"/>
        <v/>
      </c>
      <c r="CQ10" s="73" t="str">
        <f t="shared" si="44"/>
        <v/>
      </c>
      <c r="CR10" s="73" t="str">
        <f t="shared" si="44"/>
        <v/>
      </c>
      <c r="CS10" s="73" t="str">
        <f t="shared" si="44"/>
        <v/>
      </c>
      <c r="CT10" s="73" t="str">
        <f t="shared" si="44"/>
        <v/>
      </c>
      <c r="CU10" s="73" t="str">
        <f t="shared" si="44"/>
        <v/>
      </c>
      <c r="CV10" s="73" t="str">
        <f t="shared" si="44"/>
        <v/>
      </c>
      <c r="CW10" s="3"/>
    </row>
    <row r="11" spans="1:101">
      <c r="A11" s="37">
        <v>1066024</v>
      </c>
      <c r="B11" s="1">
        <v>71</v>
      </c>
      <c r="C11" s="27" t="str">
        <f t="shared" si="5"/>
        <v>1066024-71</v>
      </c>
      <c r="D11" s="26" t="s">
        <v>20</v>
      </c>
      <c r="E11" s="34" t="s">
        <v>62</v>
      </c>
      <c r="F11" s="221">
        <v>42850</v>
      </c>
      <c r="G11" s="210" t="s">
        <v>67</v>
      </c>
      <c r="H11" s="83">
        <v>27.1</v>
      </c>
      <c r="I11" s="29">
        <v>42861</v>
      </c>
      <c r="J11" s="83">
        <v>28.2</v>
      </c>
      <c r="K11" s="36"/>
      <c r="L11" s="78">
        <v>27.4</v>
      </c>
      <c r="M11" s="83"/>
      <c r="N11" s="83">
        <v>28.2</v>
      </c>
      <c r="O11" s="83">
        <v>27</v>
      </c>
      <c r="P11" s="83">
        <v>27.3</v>
      </c>
      <c r="Q11" s="83">
        <v>27.6</v>
      </c>
      <c r="R11" s="83">
        <v>27.7</v>
      </c>
      <c r="S11" s="83">
        <v>27.5</v>
      </c>
      <c r="T11" s="83">
        <v>27</v>
      </c>
      <c r="U11" s="83">
        <v>28.1</v>
      </c>
      <c r="V11" s="83">
        <v>27.4</v>
      </c>
      <c r="W11" s="83">
        <v>28.6</v>
      </c>
      <c r="X11" s="83">
        <v>27.8</v>
      </c>
      <c r="Y11" s="83">
        <v>28</v>
      </c>
      <c r="Z11" s="83">
        <v>27.7</v>
      </c>
      <c r="AA11" s="83">
        <v>26.4</v>
      </c>
      <c r="AB11" s="83">
        <v>27.6</v>
      </c>
      <c r="AC11" s="83">
        <v>27.6</v>
      </c>
      <c r="AD11" s="83">
        <v>27.8</v>
      </c>
      <c r="AE11" s="83">
        <v>28.3</v>
      </c>
      <c r="AF11" s="83">
        <v>28.5</v>
      </c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2"/>
      <c r="BE11" s="73">
        <f t="shared" si="6"/>
        <v>0.97163120567375882</v>
      </c>
      <c r="BF11" s="73" t="str">
        <f t="shared" si="7"/>
        <v/>
      </c>
      <c r="BG11" s="73">
        <f t="shared" si="8"/>
        <v>1</v>
      </c>
      <c r="BH11" s="73">
        <f t="shared" si="9"/>
        <v>0.95744680851063835</v>
      </c>
      <c r="BI11" s="73">
        <f t="shared" si="10"/>
        <v>0.96808510638297873</v>
      </c>
      <c r="BJ11" s="73">
        <f t="shared" si="11"/>
        <v>0.97872340425531923</v>
      </c>
      <c r="BK11" s="73">
        <f t="shared" si="12"/>
        <v>0.98226950354609932</v>
      </c>
      <c r="BL11" s="73">
        <f t="shared" si="13"/>
        <v>0.97517730496453903</v>
      </c>
      <c r="BM11" s="73">
        <f t="shared" si="14"/>
        <v>0.95744680851063835</v>
      </c>
      <c r="BN11" s="73">
        <f t="shared" si="15"/>
        <v>0.99645390070921991</v>
      </c>
      <c r="BO11" s="73">
        <f t="shared" si="16"/>
        <v>0.97163120567375882</v>
      </c>
      <c r="BP11" s="73">
        <f t="shared" si="17"/>
        <v>1.0141843971631206</v>
      </c>
      <c r="BQ11" s="73">
        <f t="shared" si="18"/>
        <v>0.98581560283687952</v>
      </c>
      <c r="BR11" s="73">
        <f t="shared" si="19"/>
        <v>0.99290780141843971</v>
      </c>
      <c r="BS11" s="73">
        <f t="shared" si="20"/>
        <v>0.98226950354609932</v>
      </c>
      <c r="BT11" s="73">
        <f t="shared" si="21"/>
        <v>0.93617021276595747</v>
      </c>
      <c r="BU11" s="73">
        <f t="shared" si="22"/>
        <v>0.97872340425531923</v>
      </c>
      <c r="BV11" s="73">
        <f t="shared" si="23"/>
        <v>0.97872340425531923</v>
      </c>
      <c r="BW11" s="73">
        <f t="shared" si="24"/>
        <v>0.98581560283687952</v>
      </c>
      <c r="BX11" s="73">
        <f t="shared" si="25"/>
        <v>1.0035460992907801</v>
      </c>
      <c r="BY11" s="73">
        <f t="shared" si="26"/>
        <v>1.0106382978723405</v>
      </c>
      <c r="BZ11" s="73" t="str">
        <f t="shared" si="27"/>
        <v/>
      </c>
      <c r="CA11" s="73" t="str">
        <f t="shared" si="28"/>
        <v/>
      </c>
      <c r="CB11" s="73" t="str">
        <f t="shared" si="29"/>
        <v/>
      </c>
      <c r="CC11" s="73" t="str">
        <f t="shared" si="30"/>
        <v/>
      </c>
      <c r="CD11" s="73" t="str">
        <f t="shared" si="31"/>
        <v/>
      </c>
      <c r="CE11" s="73" t="str">
        <f t="shared" si="32"/>
        <v/>
      </c>
      <c r="CF11" s="73" t="str">
        <f t="shared" si="33"/>
        <v/>
      </c>
      <c r="CG11" s="73" t="str">
        <f t="shared" si="34"/>
        <v/>
      </c>
      <c r="CH11" s="73" t="str">
        <f t="shared" si="35"/>
        <v/>
      </c>
      <c r="CI11" s="73" t="str">
        <f t="shared" si="36"/>
        <v/>
      </c>
      <c r="CJ11" s="73" t="str">
        <f t="shared" si="37"/>
        <v/>
      </c>
      <c r="CK11" s="73" t="str">
        <f t="shared" si="38"/>
        <v/>
      </c>
      <c r="CL11" s="73" t="str">
        <f t="shared" si="39"/>
        <v/>
      </c>
      <c r="CM11" s="73" t="str">
        <f t="shared" si="40"/>
        <v/>
      </c>
      <c r="CN11" s="73" t="str">
        <f t="shared" si="41"/>
        <v/>
      </c>
      <c r="CO11" s="73" t="str">
        <f t="shared" si="42"/>
        <v/>
      </c>
      <c r="CP11" s="73" t="str">
        <f t="shared" si="43"/>
        <v/>
      </c>
      <c r="CQ11" s="73" t="str">
        <f t="shared" si="44"/>
        <v/>
      </c>
      <c r="CR11" s="73" t="str">
        <f t="shared" si="44"/>
        <v/>
      </c>
      <c r="CS11" s="73" t="str">
        <f t="shared" si="44"/>
        <v/>
      </c>
      <c r="CT11" s="73" t="str">
        <f t="shared" si="44"/>
        <v/>
      </c>
      <c r="CU11" s="73" t="str">
        <f t="shared" si="44"/>
        <v/>
      </c>
      <c r="CV11" s="73" t="str">
        <f t="shared" si="44"/>
        <v/>
      </c>
      <c r="CW11" s="3"/>
    </row>
    <row r="12" spans="1:101">
      <c r="A12" s="37">
        <v>1066024</v>
      </c>
      <c r="B12" s="1">
        <v>72</v>
      </c>
      <c r="C12" s="27" t="str">
        <f t="shared" si="5"/>
        <v>1066024-72</v>
      </c>
      <c r="D12" s="26" t="s">
        <v>20</v>
      </c>
      <c r="E12" s="34" t="s">
        <v>62</v>
      </c>
      <c r="F12" s="221">
        <v>42850</v>
      </c>
      <c r="G12" s="210" t="s">
        <v>67</v>
      </c>
      <c r="H12" s="83">
        <v>26.9</v>
      </c>
      <c r="I12" s="29">
        <v>42861</v>
      </c>
      <c r="J12" s="83">
        <v>28.1</v>
      </c>
      <c r="K12" s="36"/>
      <c r="L12" s="78">
        <v>27.2</v>
      </c>
      <c r="M12" s="83"/>
      <c r="N12" s="83">
        <v>28.1</v>
      </c>
      <c r="O12" s="83">
        <v>26.7</v>
      </c>
      <c r="P12" s="83">
        <v>26.7</v>
      </c>
      <c r="Q12" s="83">
        <v>27.3</v>
      </c>
      <c r="R12" s="83">
        <v>27.8</v>
      </c>
      <c r="S12" s="83">
        <v>27.5</v>
      </c>
      <c r="T12" s="83">
        <v>27.8</v>
      </c>
      <c r="U12" s="83">
        <v>28.8</v>
      </c>
      <c r="V12" s="83">
        <v>28.2</v>
      </c>
      <c r="W12" s="83">
        <v>29</v>
      </c>
      <c r="X12" s="83">
        <v>28.9</v>
      </c>
      <c r="Y12" s="83">
        <v>29.2</v>
      </c>
      <c r="Z12" s="83">
        <v>28.9</v>
      </c>
      <c r="AA12" s="83">
        <v>27.8</v>
      </c>
      <c r="AB12" s="83">
        <v>28.8</v>
      </c>
      <c r="AC12" s="83">
        <v>28.3</v>
      </c>
      <c r="AD12" s="83">
        <v>28.6</v>
      </c>
      <c r="AE12" s="83">
        <v>29.4</v>
      </c>
      <c r="AF12" s="83">
        <v>29.1</v>
      </c>
      <c r="AG12" s="83">
        <v>29.3</v>
      </c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2"/>
      <c r="BE12" s="73">
        <f t="shared" si="6"/>
        <v>0.9679715302491102</v>
      </c>
      <c r="BF12" s="73" t="str">
        <f t="shared" si="7"/>
        <v/>
      </c>
      <c r="BG12" s="73">
        <f t="shared" si="8"/>
        <v>1</v>
      </c>
      <c r="BH12" s="73">
        <f t="shared" si="9"/>
        <v>0.95017793594306044</v>
      </c>
      <c r="BI12" s="73">
        <f t="shared" si="10"/>
        <v>0.95017793594306044</v>
      </c>
      <c r="BJ12" s="73">
        <f t="shared" si="11"/>
        <v>0.97153024911032027</v>
      </c>
      <c r="BK12" s="73">
        <f t="shared" si="12"/>
        <v>0.98932384341637003</v>
      </c>
      <c r="BL12" s="73">
        <f t="shared" si="13"/>
        <v>0.97864768683274017</v>
      </c>
      <c r="BM12" s="73">
        <f t="shared" si="14"/>
        <v>0.98932384341637003</v>
      </c>
      <c r="BN12" s="73">
        <f t="shared" si="15"/>
        <v>1.0249110320284698</v>
      </c>
      <c r="BO12" s="73">
        <f t="shared" si="16"/>
        <v>1.0035587188612098</v>
      </c>
      <c r="BP12" s="73">
        <f t="shared" si="17"/>
        <v>1.0320284697508897</v>
      </c>
      <c r="BQ12" s="73">
        <f t="shared" si="18"/>
        <v>1.0284697508896796</v>
      </c>
      <c r="BR12" s="73">
        <f t="shared" si="19"/>
        <v>1.0391459074733096</v>
      </c>
      <c r="BS12" s="73">
        <f t="shared" si="20"/>
        <v>1.0284697508896796</v>
      </c>
      <c r="BT12" s="73">
        <f t="shared" si="21"/>
        <v>0.98932384341637003</v>
      </c>
      <c r="BU12" s="73">
        <f t="shared" si="22"/>
        <v>1.0249110320284698</v>
      </c>
      <c r="BV12" s="73">
        <f t="shared" si="23"/>
        <v>1.0071174377224199</v>
      </c>
      <c r="BW12" s="73">
        <f t="shared" si="24"/>
        <v>1.0177935943060499</v>
      </c>
      <c r="BX12" s="73">
        <f t="shared" si="25"/>
        <v>1.0462633451957295</v>
      </c>
      <c r="BY12" s="73">
        <f t="shared" si="26"/>
        <v>1.0355871886120998</v>
      </c>
      <c r="BZ12" s="73">
        <f t="shared" si="27"/>
        <v>1.0427046263345194</v>
      </c>
      <c r="CA12" s="73" t="str">
        <f t="shared" si="28"/>
        <v/>
      </c>
      <c r="CB12" s="73" t="str">
        <f t="shared" si="29"/>
        <v/>
      </c>
      <c r="CC12" s="73" t="str">
        <f t="shared" si="30"/>
        <v/>
      </c>
      <c r="CD12" s="73" t="str">
        <f t="shared" si="31"/>
        <v/>
      </c>
      <c r="CE12" s="73" t="str">
        <f t="shared" si="32"/>
        <v/>
      </c>
      <c r="CF12" s="73" t="str">
        <f t="shared" si="33"/>
        <v/>
      </c>
      <c r="CG12" s="73" t="str">
        <f t="shared" si="34"/>
        <v/>
      </c>
      <c r="CH12" s="73" t="str">
        <f t="shared" si="35"/>
        <v/>
      </c>
      <c r="CI12" s="73" t="str">
        <f t="shared" si="36"/>
        <v/>
      </c>
      <c r="CJ12" s="73" t="str">
        <f t="shared" si="37"/>
        <v/>
      </c>
      <c r="CK12" s="73" t="str">
        <f t="shared" si="38"/>
        <v/>
      </c>
      <c r="CL12" s="73" t="str">
        <f t="shared" si="39"/>
        <v/>
      </c>
      <c r="CM12" s="73" t="str">
        <f t="shared" si="40"/>
        <v/>
      </c>
      <c r="CN12" s="73" t="str">
        <f t="shared" si="41"/>
        <v/>
      </c>
      <c r="CO12" s="73" t="str">
        <f t="shared" si="42"/>
        <v/>
      </c>
      <c r="CP12" s="73" t="str">
        <f t="shared" si="43"/>
        <v/>
      </c>
      <c r="CQ12" s="73" t="str">
        <f t="shared" si="44"/>
        <v/>
      </c>
      <c r="CR12" s="73" t="str">
        <f t="shared" si="44"/>
        <v/>
      </c>
      <c r="CS12" s="73" t="str">
        <f t="shared" si="44"/>
        <v/>
      </c>
      <c r="CT12" s="73" t="str">
        <f t="shared" si="44"/>
        <v/>
      </c>
      <c r="CU12" s="73" t="str">
        <f t="shared" si="44"/>
        <v/>
      </c>
      <c r="CV12" s="73" t="str">
        <f t="shared" si="44"/>
        <v/>
      </c>
      <c r="CW12" s="3"/>
    </row>
    <row r="13" spans="1:101">
      <c r="A13" s="37">
        <v>1066024</v>
      </c>
      <c r="B13" s="1">
        <v>73</v>
      </c>
      <c r="C13" s="27" t="str">
        <f t="shared" ref="C13:C30" si="45">CONCATENATE(A13,"-",B13)</f>
        <v>1066024-73</v>
      </c>
      <c r="D13" s="26" t="s">
        <v>20</v>
      </c>
      <c r="E13" s="34" t="s">
        <v>63</v>
      </c>
      <c r="F13" s="221">
        <v>42850</v>
      </c>
      <c r="G13" s="210" t="s">
        <v>67</v>
      </c>
      <c r="H13" s="83">
        <v>27.1</v>
      </c>
      <c r="I13" s="29">
        <v>42861</v>
      </c>
      <c r="J13" s="83">
        <v>27.1</v>
      </c>
      <c r="K13" s="36"/>
      <c r="L13" s="78">
        <v>26.6</v>
      </c>
      <c r="M13" s="83"/>
      <c r="N13" s="83">
        <v>27.1</v>
      </c>
      <c r="O13" s="83">
        <v>25.5</v>
      </c>
      <c r="P13" s="83">
        <v>26.9</v>
      </c>
      <c r="Q13" s="83">
        <v>27.2</v>
      </c>
      <c r="R13" s="83">
        <v>27.2</v>
      </c>
      <c r="S13" s="83">
        <v>27.3</v>
      </c>
      <c r="T13" s="83">
        <v>27</v>
      </c>
      <c r="U13" s="83">
        <v>28.7</v>
      </c>
      <c r="V13" s="83">
        <v>27.7</v>
      </c>
      <c r="W13" s="83">
        <v>28.6</v>
      </c>
      <c r="X13" s="83">
        <v>28.1</v>
      </c>
      <c r="Y13" s="83">
        <v>28.9</v>
      </c>
      <c r="Z13" s="83">
        <v>28.1</v>
      </c>
      <c r="AA13" s="83">
        <v>27.3</v>
      </c>
      <c r="AB13" s="83">
        <v>28.1</v>
      </c>
      <c r="AC13" s="83">
        <v>27.5</v>
      </c>
      <c r="AD13" s="83">
        <v>28.1</v>
      </c>
      <c r="AE13" s="83">
        <v>29.2</v>
      </c>
      <c r="AF13" s="83">
        <v>28.7</v>
      </c>
      <c r="AG13" s="83">
        <v>29.1</v>
      </c>
      <c r="AH13" s="83">
        <v>29.7</v>
      </c>
      <c r="AI13" s="83">
        <v>29</v>
      </c>
      <c r="AJ13" s="83">
        <v>29.5</v>
      </c>
      <c r="AK13" s="83">
        <v>29.3</v>
      </c>
      <c r="AL13" s="83">
        <v>29.9</v>
      </c>
      <c r="AM13" s="83">
        <v>30.3</v>
      </c>
      <c r="AN13" s="83">
        <v>30.5</v>
      </c>
      <c r="AO13" s="83">
        <v>30.8</v>
      </c>
      <c r="AP13" s="83">
        <v>31.2</v>
      </c>
      <c r="AQ13" s="83">
        <v>31.2</v>
      </c>
      <c r="AR13" s="83">
        <v>30.3</v>
      </c>
      <c r="AS13" s="83">
        <v>30</v>
      </c>
      <c r="AT13" s="83">
        <v>30.1</v>
      </c>
      <c r="AU13" s="83">
        <v>30.6</v>
      </c>
      <c r="AV13" s="83">
        <v>30.8</v>
      </c>
      <c r="AW13" s="83">
        <v>31</v>
      </c>
      <c r="AX13" s="83">
        <v>30.6</v>
      </c>
      <c r="AY13" s="83">
        <v>31</v>
      </c>
      <c r="AZ13" s="83">
        <v>31.1</v>
      </c>
      <c r="BA13" s="83">
        <v>30.6</v>
      </c>
      <c r="BB13" s="83">
        <v>30.4</v>
      </c>
      <c r="BC13" s="83">
        <v>30.4</v>
      </c>
      <c r="BD13" s="2"/>
      <c r="BE13" s="73">
        <f t="shared" ref="BE13:BE30" si="46">IF(OR(ISERROR(L13/$J13)=TRUE,ISBLANK(L13)=TRUE),"",L13/$J13)</f>
        <v>0.98154981549815501</v>
      </c>
      <c r="BF13" s="73" t="str">
        <f t="shared" ref="BF13:BF30" si="47">IF(OR(ISERROR(M13/$J13)=TRUE,ISBLANK(M13)=TRUE),"",M13/$J13)</f>
        <v/>
      </c>
      <c r="BG13" s="73">
        <f t="shared" ref="BG13:BG30" si="48">IF(OR(ISERROR(N13/$J13)=TRUE,ISBLANK(N13)=TRUE),"",N13/$J13)</f>
        <v>1</v>
      </c>
      <c r="BH13" s="73">
        <f t="shared" ref="BH13:BH30" si="49">IF(OR(ISERROR(O13/$J13)=TRUE,ISBLANK(O13)=TRUE),"",O13/$J13)</f>
        <v>0.94095940959409585</v>
      </c>
      <c r="BI13" s="73">
        <f t="shared" ref="BI13:BI30" si="50">IF(OR(ISERROR(P13/$J13)=TRUE,ISBLANK(P13)=TRUE),"",P13/$J13)</f>
        <v>0.99261992619926187</v>
      </c>
      <c r="BJ13" s="73">
        <f t="shared" ref="BJ13:BJ30" si="51">IF(OR(ISERROR(Q13/$J13)=TRUE,ISBLANK(Q13)=TRUE),"",Q13/$J13)</f>
        <v>1.003690036900369</v>
      </c>
      <c r="BK13" s="73">
        <f t="shared" ref="BK13:BK30" si="52">IF(OR(ISERROR(R13/$J13)=TRUE,ISBLANK(R13)=TRUE),"",R13/$J13)</f>
        <v>1.003690036900369</v>
      </c>
      <c r="BL13" s="73">
        <f t="shared" ref="BL13:BL30" si="53">IF(OR(ISERROR(S13/$J13)=TRUE,ISBLANK(S13)=TRUE),"",S13/$J13)</f>
        <v>1.0073800738007379</v>
      </c>
      <c r="BM13" s="73">
        <f t="shared" ref="BM13:BM30" si="54">IF(OR(ISERROR(T13/$J13)=TRUE,ISBLANK(T13)=TRUE),"",T13/$J13)</f>
        <v>0.99630996309963094</v>
      </c>
      <c r="BN13" s="73">
        <f t="shared" ref="BN13:BN30" si="55">IF(OR(ISERROR(U13/$J13)=TRUE,ISBLANK(U13)=TRUE),"",U13/$J13)</f>
        <v>1.0590405904059039</v>
      </c>
      <c r="BO13" s="73">
        <f t="shared" ref="BO13:BO30" si="56">IF(OR(ISERROR(V13/$J13)=TRUE,ISBLANK(V13)=TRUE),"",V13/$J13)</f>
        <v>1.0221402214022139</v>
      </c>
      <c r="BP13" s="73">
        <f t="shared" ref="BP13:BP30" si="57">IF(OR(ISERROR(W13/$J13)=TRUE,ISBLANK(W13)=TRUE),"",W13/$J13)</f>
        <v>1.055350553505535</v>
      </c>
      <c r="BQ13" s="73">
        <f t="shared" ref="BQ13:BQ30" si="58">IF(OR(ISERROR(X13/$J13)=TRUE,ISBLANK(X13)=TRUE),"",X13/$J13)</f>
        <v>1.03690036900369</v>
      </c>
      <c r="BR13" s="73">
        <f t="shared" ref="BR13:BR30" si="59">IF(OR(ISERROR(Y13/$J13)=TRUE,ISBLANK(Y13)=TRUE),"",Y13/$J13)</f>
        <v>1.0664206642066421</v>
      </c>
      <c r="BS13" s="73">
        <f t="shared" ref="BS13:BS30" si="60">IF(OR(ISERROR(Z13/$J13)=TRUE,ISBLANK(Z13)=TRUE),"",Z13/$J13)</f>
        <v>1.03690036900369</v>
      </c>
      <c r="BT13" s="73">
        <f t="shared" ref="BT13:BT30" si="61">IF(OR(ISERROR(AA13/$J13)=TRUE,ISBLANK(AA13)=TRUE),"",AA13/$J13)</f>
        <v>1.0073800738007379</v>
      </c>
      <c r="BU13" s="73">
        <f t="shared" ref="BU13:BU30" si="62">IF(OR(ISERROR(AB13/$J13)=TRUE,ISBLANK(AB13)=TRUE),"",AB13/$J13)</f>
        <v>1.03690036900369</v>
      </c>
      <c r="BV13" s="73">
        <f t="shared" ref="BV13:BV30" si="63">IF(OR(ISERROR(AC13/$J13)=TRUE,ISBLANK(AC13)=TRUE),"",AC13/$J13)</f>
        <v>1.014760147601476</v>
      </c>
      <c r="BW13" s="73">
        <f t="shared" ref="BW13:BW30" si="64">IF(OR(ISERROR(AD13/$J13)=TRUE,ISBLANK(AD13)=TRUE),"",AD13/$J13)</f>
        <v>1.03690036900369</v>
      </c>
      <c r="BX13" s="73">
        <f t="shared" ref="BX13:BX30" si="65">IF(OR(ISERROR(AE13/$J13)=TRUE,ISBLANK(AE13)=TRUE),"",AE13/$J13)</f>
        <v>1.0774907749077489</v>
      </c>
      <c r="BY13" s="73">
        <f t="shared" ref="BY13:BY30" si="66">IF(OR(ISERROR(AF13/$J13)=TRUE,ISBLANK(AF13)=TRUE),"",AF13/$J13)</f>
        <v>1.0590405904059039</v>
      </c>
      <c r="BZ13" s="73">
        <f t="shared" ref="BZ13:BZ30" si="67">IF(OR(ISERROR(AG13/$J13)=TRUE,ISBLANK(AG13)=TRUE),"",AG13/$J13)</f>
        <v>1.07380073800738</v>
      </c>
      <c r="CA13" s="73">
        <f t="shared" ref="CA13:CA30" si="68">IF(OR(ISERROR(AH13/$J13)=TRUE,ISBLANK(AH13)=TRUE),"",AH13/$J13)</f>
        <v>1.0959409594095939</v>
      </c>
      <c r="CB13" s="73">
        <f t="shared" ref="CB13:CB30" si="69">IF(OR(ISERROR(AI13/$J13)=TRUE,ISBLANK(AI13)=TRUE),"",AI13/$J13)</f>
        <v>1.070110701107011</v>
      </c>
      <c r="CC13" s="73">
        <f t="shared" ref="CC13:CC30" si="70">IF(OR(ISERROR(AJ13/$J13)=TRUE,ISBLANK(AJ13)=TRUE),"",AJ13/$J13)</f>
        <v>1.088560885608856</v>
      </c>
      <c r="CD13" s="73">
        <f t="shared" ref="CD13:CD30" si="71">IF(OR(ISERROR(AK13/$J13)=TRUE,ISBLANK(AK13)=TRUE),"",AK13/$J13)</f>
        <v>1.0811808118081181</v>
      </c>
      <c r="CE13" s="73">
        <f t="shared" ref="CE13:CE30" si="72">IF(OR(ISERROR(AL13/$J13)=TRUE,ISBLANK(AL13)=TRUE),"",AL13/$J13)</f>
        <v>1.103321033210332</v>
      </c>
      <c r="CF13" s="73">
        <f t="shared" ref="CF13:CF30" si="73">IF(OR(ISERROR(AM13/$J13)=TRUE,ISBLANK(AM13)=TRUE),"",AM13/$J13)</f>
        <v>1.1180811808118081</v>
      </c>
      <c r="CG13" s="73">
        <f t="shared" ref="CG13:CG30" si="74">IF(OR(ISERROR(AN13/$J13)=TRUE,ISBLANK(AN13)=TRUE),"",AN13/$J13)</f>
        <v>1.125461254612546</v>
      </c>
      <c r="CH13" s="73">
        <f t="shared" ref="CH13:CH30" si="75">IF(OR(ISERROR(AO13/$J13)=TRUE,ISBLANK(AO13)=TRUE),"",AO13/$J13)</f>
        <v>1.1365313653136531</v>
      </c>
      <c r="CI13" s="73">
        <f t="shared" ref="CI13:CI30" si="76">IF(OR(ISERROR(AP13/$J13)=TRUE,ISBLANK(AP13)=TRUE),"",AP13/$J13)</f>
        <v>1.1512915129151291</v>
      </c>
      <c r="CJ13" s="73">
        <f t="shared" ref="CJ13:CJ30" si="77">IF(OR(ISERROR(AQ13/$J13)=TRUE,ISBLANK(AQ13)=TRUE),"",AQ13/$J13)</f>
        <v>1.1512915129151291</v>
      </c>
      <c r="CK13" s="73">
        <f t="shared" ref="CK13:CK30" si="78">IF(OR(ISERROR(AR13/$J13)=TRUE,ISBLANK(AR13)=TRUE),"",AR13/$J13)</f>
        <v>1.1180811808118081</v>
      </c>
      <c r="CL13" s="73">
        <f t="shared" ref="CL13:CL30" si="79">IF(OR(ISERROR(AS13/$J13)=TRUE,ISBLANK(AS13)=TRUE),"",AS13/$J13)</f>
        <v>1.107011070110701</v>
      </c>
      <c r="CM13" s="73">
        <f t="shared" ref="CM13:CM30" si="80">IF(OR(ISERROR(AT13/$J13)=TRUE,ISBLANK(AT13)=TRUE),"",AT13/$J13)</f>
        <v>1.1107011070110702</v>
      </c>
      <c r="CN13" s="73">
        <f t="shared" ref="CN13:CN30" si="81">IF(OR(ISERROR(AU13/$J13)=TRUE,ISBLANK(AU13)=TRUE),"",AU13/$J13)</f>
        <v>1.1291512915129152</v>
      </c>
      <c r="CO13" s="73">
        <f t="shared" ref="CO13:CO30" si="82">IF(OR(ISERROR(AV13/$J13)=TRUE,ISBLANK(AV13)=TRUE),"",AV13/$J13)</f>
        <v>1.1365313653136531</v>
      </c>
      <c r="CP13" s="73">
        <f t="shared" ref="CP13:CP30" si="83">IF(OR(ISERROR(AW13/$J13)=TRUE,ISBLANK(AW13)=TRUE),"",AW13/$J13)</f>
        <v>1.1439114391143912</v>
      </c>
      <c r="CQ13" s="73">
        <f t="shared" ref="CQ13:CV28" si="84">IF(OR(ISERROR(AX13/$J13)=TRUE,ISBLANK(AX13)=TRUE),"",AX13/$J13)</f>
        <v>1.1291512915129152</v>
      </c>
      <c r="CR13" s="73">
        <f t="shared" si="84"/>
        <v>1.1439114391143912</v>
      </c>
      <c r="CS13" s="73">
        <f t="shared" si="84"/>
        <v>1.1476014760147601</v>
      </c>
      <c r="CT13" s="73">
        <f t="shared" si="84"/>
        <v>1.1291512915129152</v>
      </c>
      <c r="CU13" s="73">
        <f t="shared" si="84"/>
        <v>1.121771217712177</v>
      </c>
      <c r="CV13" s="73">
        <f t="shared" si="84"/>
        <v>1.121771217712177</v>
      </c>
      <c r="CW13" s="3"/>
    </row>
    <row r="14" spans="1:101">
      <c r="A14" s="37">
        <v>1066024</v>
      </c>
      <c r="B14" s="1">
        <v>74</v>
      </c>
      <c r="C14" s="27" t="str">
        <f t="shared" si="45"/>
        <v>1066024-74</v>
      </c>
      <c r="D14" s="26" t="s">
        <v>20</v>
      </c>
      <c r="E14" s="34" t="s">
        <v>62</v>
      </c>
      <c r="F14" s="221">
        <v>42850</v>
      </c>
      <c r="G14" s="210" t="s">
        <v>67</v>
      </c>
      <c r="H14" s="83">
        <v>29.4</v>
      </c>
      <c r="I14" s="29">
        <v>42861</v>
      </c>
      <c r="J14" s="83">
        <v>28.8</v>
      </c>
      <c r="K14" s="36"/>
      <c r="L14" s="78">
        <v>28.4</v>
      </c>
      <c r="M14" s="83"/>
      <c r="N14" s="83">
        <v>28.8</v>
      </c>
      <c r="O14" s="83">
        <v>28.8</v>
      </c>
      <c r="P14" s="83">
        <v>28.8</v>
      </c>
      <c r="Q14" s="83">
        <v>29.2</v>
      </c>
      <c r="R14" s="83">
        <v>29</v>
      </c>
      <c r="S14" s="83">
        <v>29.1</v>
      </c>
      <c r="T14" s="83">
        <v>29.1</v>
      </c>
      <c r="U14" s="83">
        <v>30.4</v>
      </c>
      <c r="V14" s="83">
        <v>29.5</v>
      </c>
      <c r="W14" s="83">
        <v>30.6</v>
      </c>
      <c r="X14" s="83">
        <v>29.7</v>
      </c>
      <c r="Y14" s="83">
        <v>30.1</v>
      </c>
      <c r="Z14" s="83">
        <v>29.6</v>
      </c>
      <c r="AA14" s="83">
        <v>29</v>
      </c>
      <c r="AB14" s="83">
        <v>29.7</v>
      </c>
      <c r="AC14" s="83">
        <v>29</v>
      </c>
      <c r="AD14" s="83">
        <v>28.4</v>
      </c>
      <c r="AE14" s="83">
        <v>29.1</v>
      </c>
      <c r="AF14" s="83">
        <v>28.8</v>
      </c>
      <c r="AG14" s="83">
        <v>29.1</v>
      </c>
      <c r="AH14" s="83">
        <v>29.3</v>
      </c>
      <c r="AI14" s="83">
        <v>29</v>
      </c>
      <c r="AJ14" s="83">
        <v>30.4</v>
      </c>
      <c r="AK14" s="83">
        <v>30.1</v>
      </c>
      <c r="AL14" s="83">
        <v>30.3</v>
      </c>
      <c r="AM14" s="83">
        <v>30.2</v>
      </c>
      <c r="AN14" s="83">
        <v>30.2</v>
      </c>
      <c r="AO14" s="83">
        <v>30.4</v>
      </c>
      <c r="AP14" s="83">
        <v>30.7</v>
      </c>
      <c r="AQ14" s="83">
        <v>31</v>
      </c>
      <c r="AR14" s="83">
        <v>30.8</v>
      </c>
      <c r="AS14" s="83">
        <v>30.9</v>
      </c>
      <c r="AT14" s="83">
        <v>30.7</v>
      </c>
      <c r="AU14" s="83">
        <v>31.2</v>
      </c>
      <c r="AV14" s="83">
        <v>30.9</v>
      </c>
      <c r="AW14" s="83">
        <v>29.3</v>
      </c>
      <c r="AX14" s="83">
        <v>28.9</v>
      </c>
      <c r="AY14" s="83">
        <v>29.5</v>
      </c>
      <c r="AZ14" s="83">
        <v>30.3</v>
      </c>
      <c r="BA14" s="83">
        <v>29.8</v>
      </c>
      <c r="BB14" s="83">
        <v>30.4</v>
      </c>
      <c r="BC14" s="83">
        <v>30.8</v>
      </c>
      <c r="BD14" s="2"/>
      <c r="BE14" s="73">
        <f t="shared" si="46"/>
        <v>0.98611111111111105</v>
      </c>
      <c r="BF14" s="73" t="str">
        <f t="shared" si="47"/>
        <v/>
      </c>
      <c r="BG14" s="73">
        <f t="shared" si="48"/>
        <v>1</v>
      </c>
      <c r="BH14" s="73">
        <f t="shared" si="49"/>
        <v>1</v>
      </c>
      <c r="BI14" s="73">
        <f t="shared" si="50"/>
        <v>1</v>
      </c>
      <c r="BJ14" s="73">
        <f t="shared" si="51"/>
        <v>1.0138888888888888</v>
      </c>
      <c r="BK14" s="73">
        <f t="shared" si="52"/>
        <v>1.0069444444444444</v>
      </c>
      <c r="BL14" s="73">
        <f t="shared" si="53"/>
        <v>1.0104166666666667</v>
      </c>
      <c r="BM14" s="73">
        <f t="shared" si="54"/>
        <v>1.0104166666666667</v>
      </c>
      <c r="BN14" s="73">
        <f t="shared" si="55"/>
        <v>1.0555555555555556</v>
      </c>
      <c r="BO14" s="73">
        <f t="shared" si="56"/>
        <v>1.0243055555555556</v>
      </c>
      <c r="BP14" s="73">
        <f t="shared" si="57"/>
        <v>1.0625</v>
      </c>
      <c r="BQ14" s="73">
        <f t="shared" si="58"/>
        <v>1.03125</v>
      </c>
      <c r="BR14" s="73">
        <f t="shared" si="59"/>
        <v>1.0451388888888888</v>
      </c>
      <c r="BS14" s="73">
        <f t="shared" si="60"/>
        <v>1.0277777777777779</v>
      </c>
      <c r="BT14" s="73">
        <f t="shared" si="61"/>
        <v>1.0069444444444444</v>
      </c>
      <c r="BU14" s="73">
        <f t="shared" si="62"/>
        <v>1.03125</v>
      </c>
      <c r="BV14" s="73">
        <f t="shared" si="63"/>
        <v>1.0069444444444444</v>
      </c>
      <c r="BW14" s="73">
        <f t="shared" si="64"/>
        <v>0.98611111111111105</v>
      </c>
      <c r="BX14" s="73">
        <f t="shared" si="65"/>
        <v>1.0104166666666667</v>
      </c>
      <c r="BY14" s="73">
        <f t="shared" si="66"/>
        <v>1</v>
      </c>
      <c r="BZ14" s="73">
        <f t="shared" si="67"/>
        <v>1.0104166666666667</v>
      </c>
      <c r="CA14" s="73">
        <f t="shared" si="68"/>
        <v>1.0173611111111112</v>
      </c>
      <c r="CB14" s="73">
        <f t="shared" si="69"/>
        <v>1.0069444444444444</v>
      </c>
      <c r="CC14" s="73">
        <f t="shared" si="70"/>
        <v>1.0555555555555556</v>
      </c>
      <c r="CD14" s="73">
        <f t="shared" si="71"/>
        <v>1.0451388888888888</v>
      </c>
      <c r="CE14" s="73">
        <f t="shared" si="72"/>
        <v>1.0520833333333333</v>
      </c>
      <c r="CF14" s="73">
        <f t="shared" si="73"/>
        <v>1.0486111111111112</v>
      </c>
      <c r="CG14" s="73">
        <f t="shared" si="74"/>
        <v>1.0486111111111112</v>
      </c>
      <c r="CH14" s="73">
        <f t="shared" si="75"/>
        <v>1.0555555555555556</v>
      </c>
      <c r="CI14" s="73">
        <f t="shared" si="76"/>
        <v>1.0659722222222221</v>
      </c>
      <c r="CJ14" s="73">
        <f t="shared" si="77"/>
        <v>1.0763888888888888</v>
      </c>
      <c r="CK14" s="73">
        <f t="shared" si="78"/>
        <v>1.0694444444444444</v>
      </c>
      <c r="CL14" s="73">
        <f t="shared" si="79"/>
        <v>1.0729166666666665</v>
      </c>
      <c r="CM14" s="73">
        <f t="shared" si="80"/>
        <v>1.0659722222222221</v>
      </c>
      <c r="CN14" s="73">
        <f t="shared" si="81"/>
        <v>1.0833333333333333</v>
      </c>
      <c r="CO14" s="73">
        <f t="shared" si="82"/>
        <v>1.0729166666666665</v>
      </c>
      <c r="CP14" s="73">
        <f t="shared" si="83"/>
        <v>1.0173611111111112</v>
      </c>
      <c r="CQ14" s="73">
        <f t="shared" si="84"/>
        <v>1.0034722222222221</v>
      </c>
      <c r="CR14" s="73">
        <f t="shared" si="84"/>
        <v>1.0243055555555556</v>
      </c>
      <c r="CS14" s="73">
        <f t="shared" si="84"/>
        <v>1.0520833333333333</v>
      </c>
      <c r="CT14" s="73">
        <f t="shared" si="84"/>
        <v>1.0347222222222223</v>
      </c>
      <c r="CU14" s="73">
        <f t="shared" si="84"/>
        <v>1.0555555555555556</v>
      </c>
      <c r="CV14" s="73">
        <f t="shared" si="84"/>
        <v>1.0694444444444444</v>
      </c>
      <c r="CW14" s="3"/>
    </row>
    <row r="15" spans="1:101">
      <c r="A15" s="37">
        <v>1066024</v>
      </c>
      <c r="B15" s="1">
        <v>75</v>
      </c>
      <c r="C15" s="27" t="str">
        <f t="shared" si="45"/>
        <v>1066024-75</v>
      </c>
      <c r="D15" s="26" t="s">
        <v>20</v>
      </c>
      <c r="E15" s="34" t="s">
        <v>63</v>
      </c>
      <c r="F15" s="221">
        <v>42850</v>
      </c>
      <c r="G15" s="210" t="s">
        <v>67</v>
      </c>
      <c r="H15" s="83">
        <v>25.8</v>
      </c>
      <c r="I15" s="29">
        <v>42861</v>
      </c>
      <c r="J15" s="83">
        <v>26.3</v>
      </c>
      <c r="K15" s="36"/>
      <c r="L15" s="78">
        <v>25.6</v>
      </c>
      <c r="M15" s="83"/>
      <c r="N15" s="83">
        <v>26.3</v>
      </c>
      <c r="O15" s="83">
        <v>24.5</v>
      </c>
      <c r="P15" s="83">
        <v>25.2</v>
      </c>
      <c r="Q15" s="83">
        <v>24.7</v>
      </c>
      <c r="R15" s="83">
        <v>25.2</v>
      </c>
      <c r="S15" s="83">
        <v>25.9</v>
      </c>
      <c r="T15" s="83">
        <v>26.2</v>
      </c>
      <c r="U15" s="83">
        <v>28</v>
      </c>
      <c r="V15" s="83">
        <v>27.4</v>
      </c>
      <c r="W15" s="83">
        <v>29</v>
      </c>
      <c r="X15" s="83">
        <v>28.3</v>
      </c>
      <c r="Y15" s="83">
        <v>28.9</v>
      </c>
      <c r="Z15" s="83">
        <v>28.6</v>
      </c>
      <c r="AA15" s="83">
        <v>26.3</v>
      </c>
      <c r="AB15" s="83">
        <v>27.5</v>
      </c>
      <c r="AC15" s="83">
        <v>27.8</v>
      </c>
      <c r="AD15" s="83">
        <v>27.2</v>
      </c>
      <c r="AE15" s="83">
        <v>28.3</v>
      </c>
      <c r="AF15" s="83">
        <v>28</v>
      </c>
      <c r="AG15" s="83">
        <v>28.3</v>
      </c>
      <c r="AH15" s="83">
        <v>28.9</v>
      </c>
      <c r="AI15" s="83">
        <v>28.3</v>
      </c>
      <c r="AJ15" s="83">
        <v>28.8</v>
      </c>
      <c r="AK15" s="83">
        <v>28.3</v>
      </c>
      <c r="AL15" s="83">
        <v>28.4</v>
      </c>
      <c r="AM15" s="83">
        <v>29.2</v>
      </c>
      <c r="AN15" s="83">
        <v>29.4</v>
      </c>
      <c r="AO15" s="83">
        <v>30.1</v>
      </c>
      <c r="AP15" s="83">
        <v>30.2</v>
      </c>
      <c r="AQ15" s="83">
        <v>30.4</v>
      </c>
      <c r="AR15" s="83">
        <v>29.8</v>
      </c>
      <c r="AS15" s="83">
        <v>29.8</v>
      </c>
      <c r="AT15" s="83">
        <v>30</v>
      </c>
      <c r="AU15" s="83">
        <v>29.9</v>
      </c>
      <c r="AV15" s="83">
        <v>30</v>
      </c>
      <c r="AW15" s="83"/>
      <c r="AX15" s="83"/>
      <c r="AY15" s="83"/>
      <c r="AZ15" s="83"/>
      <c r="BA15" s="83"/>
      <c r="BB15" s="83"/>
      <c r="BC15" s="83"/>
      <c r="BD15" s="2"/>
      <c r="BE15" s="73">
        <f t="shared" si="46"/>
        <v>0.97338403041825095</v>
      </c>
      <c r="BF15" s="73" t="str">
        <f t="shared" si="47"/>
        <v/>
      </c>
      <c r="BG15" s="73">
        <f t="shared" si="48"/>
        <v>1</v>
      </c>
      <c r="BH15" s="73">
        <f t="shared" si="49"/>
        <v>0.9315589353612167</v>
      </c>
      <c r="BI15" s="73">
        <f t="shared" si="50"/>
        <v>0.95817490494296575</v>
      </c>
      <c r="BJ15" s="73">
        <f t="shared" si="51"/>
        <v>0.93916349809885924</v>
      </c>
      <c r="BK15" s="73">
        <f t="shared" si="52"/>
        <v>0.95817490494296575</v>
      </c>
      <c r="BL15" s="73">
        <f t="shared" si="53"/>
        <v>0.9847908745247147</v>
      </c>
      <c r="BM15" s="73">
        <f t="shared" si="54"/>
        <v>0.99619771863117867</v>
      </c>
      <c r="BN15" s="73">
        <f t="shared" si="55"/>
        <v>1.064638783269962</v>
      </c>
      <c r="BO15" s="73">
        <f t="shared" si="56"/>
        <v>1.0418250950570342</v>
      </c>
      <c r="BP15" s="73">
        <f t="shared" si="57"/>
        <v>1.1026615969581748</v>
      </c>
      <c r="BQ15" s="73">
        <f t="shared" si="58"/>
        <v>1.0760456273764258</v>
      </c>
      <c r="BR15" s="73">
        <f t="shared" si="59"/>
        <v>1.0988593155893536</v>
      </c>
      <c r="BS15" s="73">
        <f t="shared" si="60"/>
        <v>1.0874524714828897</v>
      </c>
      <c r="BT15" s="73">
        <f t="shared" si="61"/>
        <v>1</v>
      </c>
      <c r="BU15" s="73">
        <f t="shared" si="62"/>
        <v>1.0456273764258555</v>
      </c>
      <c r="BV15" s="73">
        <f t="shared" si="63"/>
        <v>1.0570342205323193</v>
      </c>
      <c r="BW15" s="73">
        <f t="shared" si="64"/>
        <v>1.0342205323193916</v>
      </c>
      <c r="BX15" s="73">
        <f t="shared" si="65"/>
        <v>1.0760456273764258</v>
      </c>
      <c r="BY15" s="73">
        <f t="shared" si="66"/>
        <v>1.064638783269962</v>
      </c>
      <c r="BZ15" s="73">
        <f t="shared" si="67"/>
        <v>1.0760456273764258</v>
      </c>
      <c r="CA15" s="73">
        <f t="shared" si="68"/>
        <v>1.0988593155893536</v>
      </c>
      <c r="CB15" s="73">
        <f t="shared" si="69"/>
        <v>1.0760456273764258</v>
      </c>
      <c r="CC15" s="73">
        <f t="shared" si="70"/>
        <v>1.0950570342205324</v>
      </c>
      <c r="CD15" s="73">
        <f t="shared" si="71"/>
        <v>1.0760456273764258</v>
      </c>
      <c r="CE15" s="73">
        <f t="shared" si="72"/>
        <v>1.0798479087452471</v>
      </c>
      <c r="CF15" s="73">
        <f t="shared" si="73"/>
        <v>1.1102661596958174</v>
      </c>
      <c r="CG15" s="73">
        <f t="shared" si="74"/>
        <v>1.1178707224334601</v>
      </c>
      <c r="CH15" s="73">
        <f t="shared" si="75"/>
        <v>1.1444866920152093</v>
      </c>
      <c r="CI15" s="73">
        <f t="shared" si="76"/>
        <v>1.1482889733840305</v>
      </c>
      <c r="CJ15" s="73">
        <f t="shared" si="77"/>
        <v>1.1558935361216729</v>
      </c>
      <c r="CK15" s="73">
        <f t="shared" si="78"/>
        <v>1.1330798479087452</v>
      </c>
      <c r="CL15" s="73">
        <f t="shared" si="79"/>
        <v>1.1330798479087452</v>
      </c>
      <c r="CM15" s="73">
        <f t="shared" si="80"/>
        <v>1.1406844106463878</v>
      </c>
      <c r="CN15" s="73">
        <f t="shared" si="81"/>
        <v>1.1368821292775664</v>
      </c>
      <c r="CO15" s="73">
        <f t="shared" si="82"/>
        <v>1.1406844106463878</v>
      </c>
      <c r="CP15" s="73" t="str">
        <f t="shared" si="83"/>
        <v/>
      </c>
      <c r="CQ15" s="73" t="str">
        <f t="shared" si="84"/>
        <v/>
      </c>
      <c r="CR15" s="73" t="str">
        <f t="shared" si="84"/>
        <v/>
      </c>
      <c r="CS15" s="73" t="str">
        <f t="shared" si="84"/>
        <v/>
      </c>
      <c r="CT15" s="73" t="str">
        <f t="shared" si="84"/>
        <v/>
      </c>
      <c r="CU15" s="73" t="str">
        <f t="shared" si="84"/>
        <v/>
      </c>
      <c r="CV15" s="73" t="str">
        <f t="shared" si="84"/>
        <v/>
      </c>
      <c r="CW15" s="3"/>
    </row>
    <row r="16" spans="1:101">
      <c r="A16" s="37">
        <v>1066025</v>
      </c>
      <c r="B16" s="1">
        <v>81</v>
      </c>
      <c r="C16" s="27" t="str">
        <f t="shared" si="45"/>
        <v>1066025-81</v>
      </c>
      <c r="D16" s="26" t="s">
        <v>20</v>
      </c>
      <c r="E16" s="34" t="s">
        <v>63</v>
      </c>
      <c r="F16" s="221">
        <v>42850</v>
      </c>
      <c r="G16" s="210" t="s">
        <v>67</v>
      </c>
      <c r="H16" s="83">
        <v>29.9</v>
      </c>
      <c r="I16" s="29">
        <v>42861</v>
      </c>
      <c r="J16" s="83">
        <v>29.6</v>
      </c>
      <c r="K16" s="36"/>
      <c r="L16" s="78">
        <v>29.8</v>
      </c>
      <c r="M16" s="83"/>
      <c r="N16" s="83">
        <v>29.6</v>
      </c>
      <c r="O16" s="83">
        <v>29.5</v>
      </c>
      <c r="P16" s="83">
        <v>30</v>
      </c>
      <c r="Q16" s="83">
        <v>30.1</v>
      </c>
      <c r="R16" s="83">
        <v>29.4</v>
      </c>
      <c r="S16" s="83">
        <v>29.7</v>
      </c>
      <c r="T16" s="83">
        <v>29.2</v>
      </c>
      <c r="U16" s="83">
        <v>31.4</v>
      </c>
      <c r="V16" s="83">
        <v>29.9</v>
      </c>
      <c r="W16" s="83">
        <v>31.4</v>
      </c>
      <c r="X16" s="83">
        <v>30.2</v>
      </c>
      <c r="Y16" s="83">
        <v>31.4</v>
      </c>
      <c r="Z16" s="83">
        <v>30.5</v>
      </c>
      <c r="AA16" s="83">
        <v>28.2</v>
      </c>
      <c r="AB16" s="83">
        <v>30.3</v>
      </c>
      <c r="AC16" s="83">
        <v>31.2</v>
      </c>
      <c r="AD16" s="83">
        <v>30.3</v>
      </c>
      <c r="AE16" s="83">
        <v>21.6</v>
      </c>
      <c r="AF16" s="83">
        <v>28.9</v>
      </c>
      <c r="AG16" s="83">
        <v>31.7</v>
      </c>
      <c r="AH16" s="83">
        <v>31</v>
      </c>
      <c r="AI16" s="83">
        <v>31.5</v>
      </c>
      <c r="AJ16" s="83">
        <v>31.9</v>
      </c>
      <c r="AK16" s="83">
        <v>31.3</v>
      </c>
      <c r="AL16" s="83">
        <v>31.4</v>
      </c>
      <c r="AM16" s="83">
        <v>32.1</v>
      </c>
      <c r="AN16" s="83">
        <v>32.4</v>
      </c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2"/>
      <c r="BE16" s="73">
        <f t="shared" si="46"/>
        <v>1.0067567567567568</v>
      </c>
      <c r="BF16" s="73" t="str">
        <f t="shared" si="47"/>
        <v/>
      </c>
      <c r="BG16" s="73">
        <f t="shared" si="48"/>
        <v>1</v>
      </c>
      <c r="BH16" s="73">
        <f t="shared" si="49"/>
        <v>0.9966216216216216</v>
      </c>
      <c r="BI16" s="73">
        <f t="shared" si="50"/>
        <v>1.0135135135135134</v>
      </c>
      <c r="BJ16" s="73">
        <f t="shared" si="51"/>
        <v>1.0168918918918919</v>
      </c>
      <c r="BK16" s="73">
        <f t="shared" si="52"/>
        <v>0.9932432432432432</v>
      </c>
      <c r="BL16" s="73">
        <f t="shared" si="53"/>
        <v>1.0033783783783783</v>
      </c>
      <c r="BM16" s="73">
        <f t="shared" si="54"/>
        <v>0.9864864864864864</v>
      </c>
      <c r="BN16" s="73">
        <f t="shared" si="55"/>
        <v>1.0608108108108107</v>
      </c>
      <c r="BO16" s="73">
        <f t="shared" si="56"/>
        <v>1.0101351351351351</v>
      </c>
      <c r="BP16" s="73">
        <f t="shared" si="57"/>
        <v>1.0608108108108107</v>
      </c>
      <c r="BQ16" s="73">
        <f t="shared" si="58"/>
        <v>1.0202702702702702</v>
      </c>
      <c r="BR16" s="73">
        <f t="shared" si="59"/>
        <v>1.0608108108108107</v>
      </c>
      <c r="BS16" s="73">
        <f t="shared" si="60"/>
        <v>1.0304054054054053</v>
      </c>
      <c r="BT16" s="73">
        <f t="shared" si="61"/>
        <v>0.95270270270270263</v>
      </c>
      <c r="BU16" s="73">
        <f t="shared" si="62"/>
        <v>1.0236486486486487</v>
      </c>
      <c r="BV16" s="73">
        <f t="shared" si="63"/>
        <v>1.0540540540540539</v>
      </c>
      <c r="BW16" s="73">
        <f t="shared" si="64"/>
        <v>1.0236486486486487</v>
      </c>
      <c r="BX16" s="73">
        <f t="shared" si="65"/>
        <v>0.72972972972972971</v>
      </c>
      <c r="BY16" s="73">
        <f t="shared" si="66"/>
        <v>0.9763513513513512</v>
      </c>
      <c r="BZ16" s="73">
        <f t="shared" si="67"/>
        <v>1.0709459459459458</v>
      </c>
      <c r="CA16" s="73">
        <f t="shared" si="68"/>
        <v>1.0472972972972971</v>
      </c>
      <c r="CB16" s="73">
        <f t="shared" si="69"/>
        <v>1.064189189189189</v>
      </c>
      <c r="CC16" s="73">
        <f t="shared" si="70"/>
        <v>1.0777027027027026</v>
      </c>
      <c r="CD16" s="73">
        <f t="shared" si="71"/>
        <v>1.0574324324324325</v>
      </c>
      <c r="CE16" s="73">
        <f t="shared" si="72"/>
        <v>1.0608108108108107</v>
      </c>
      <c r="CF16" s="73">
        <f t="shared" si="73"/>
        <v>1.0844594594594594</v>
      </c>
      <c r="CG16" s="73">
        <f t="shared" si="74"/>
        <v>1.0945945945945945</v>
      </c>
      <c r="CH16" s="73" t="str">
        <f t="shared" si="75"/>
        <v/>
      </c>
      <c r="CI16" s="73" t="str">
        <f t="shared" si="76"/>
        <v/>
      </c>
      <c r="CJ16" s="73" t="str">
        <f t="shared" si="77"/>
        <v/>
      </c>
      <c r="CK16" s="73" t="str">
        <f t="shared" si="78"/>
        <v/>
      </c>
      <c r="CL16" s="73" t="str">
        <f t="shared" si="79"/>
        <v/>
      </c>
      <c r="CM16" s="73" t="str">
        <f t="shared" si="80"/>
        <v/>
      </c>
      <c r="CN16" s="73" t="str">
        <f t="shared" si="81"/>
        <v/>
      </c>
      <c r="CO16" s="73" t="str">
        <f t="shared" si="82"/>
        <v/>
      </c>
      <c r="CP16" s="73" t="str">
        <f t="shared" si="83"/>
        <v/>
      </c>
      <c r="CQ16" s="73" t="str">
        <f t="shared" si="84"/>
        <v/>
      </c>
      <c r="CR16" s="73" t="str">
        <f t="shared" si="84"/>
        <v/>
      </c>
      <c r="CS16" s="73" t="str">
        <f t="shared" si="84"/>
        <v/>
      </c>
      <c r="CT16" s="73" t="str">
        <f t="shared" si="84"/>
        <v/>
      </c>
      <c r="CU16" s="73" t="str">
        <f t="shared" si="84"/>
        <v/>
      </c>
      <c r="CV16" s="73" t="str">
        <f t="shared" si="84"/>
        <v/>
      </c>
      <c r="CW16" s="3"/>
    </row>
    <row r="17" spans="1:101">
      <c r="A17" s="37">
        <v>1066025</v>
      </c>
      <c r="B17" s="1">
        <v>82</v>
      </c>
      <c r="C17" s="27" t="str">
        <f t="shared" si="45"/>
        <v>1066025-82</v>
      </c>
      <c r="D17" s="26" t="s">
        <v>20</v>
      </c>
      <c r="E17" s="34" t="s">
        <v>62</v>
      </c>
      <c r="F17" s="221">
        <v>42850</v>
      </c>
      <c r="G17" s="210" t="s">
        <v>67</v>
      </c>
      <c r="H17" s="83">
        <v>27.4</v>
      </c>
      <c r="I17" s="29">
        <v>42861</v>
      </c>
      <c r="J17" s="83">
        <v>27.8</v>
      </c>
      <c r="K17" s="36"/>
      <c r="L17" s="78">
        <v>27.2</v>
      </c>
      <c r="M17" s="83"/>
      <c r="N17" s="83">
        <v>27.8</v>
      </c>
      <c r="O17" s="83">
        <v>27</v>
      </c>
      <c r="P17" s="83">
        <v>27.9</v>
      </c>
      <c r="Q17" s="83">
        <v>28.3</v>
      </c>
      <c r="R17" s="83">
        <v>28.4</v>
      </c>
      <c r="S17" s="83">
        <v>27.6</v>
      </c>
      <c r="T17" s="83">
        <v>27</v>
      </c>
      <c r="U17" s="83">
        <v>28.6</v>
      </c>
      <c r="V17" s="83">
        <v>27.7</v>
      </c>
      <c r="W17" s="83">
        <v>28.9</v>
      </c>
      <c r="X17" s="83">
        <v>28</v>
      </c>
      <c r="Y17" s="83">
        <v>28.9</v>
      </c>
      <c r="Z17" s="83">
        <v>28.7</v>
      </c>
      <c r="AA17" s="83">
        <v>25.7</v>
      </c>
      <c r="AB17" s="83">
        <v>28.2</v>
      </c>
      <c r="AC17" s="83">
        <v>28.8</v>
      </c>
      <c r="AD17" s="83">
        <v>27.6</v>
      </c>
      <c r="AE17" s="83">
        <v>19.100000000000001</v>
      </c>
      <c r="AF17" s="83">
        <v>25.9</v>
      </c>
      <c r="AG17" s="83">
        <v>29.7</v>
      </c>
      <c r="AH17" s="83">
        <v>29.4</v>
      </c>
      <c r="AI17" s="83">
        <v>30.7</v>
      </c>
      <c r="AJ17" s="83">
        <v>30</v>
      </c>
      <c r="AK17" s="83">
        <v>30</v>
      </c>
      <c r="AL17" s="83">
        <v>30.1</v>
      </c>
      <c r="AM17" s="83">
        <v>29.7</v>
      </c>
      <c r="AN17" s="83">
        <v>30.5</v>
      </c>
      <c r="AO17" s="83">
        <v>31.5</v>
      </c>
      <c r="AP17" s="83">
        <v>31.9</v>
      </c>
      <c r="AQ17" s="83">
        <v>32.4</v>
      </c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2"/>
      <c r="BE17" s="73">
        <f t="shared" si="46"/>
        <v>0.97841726618705027</v>
      </c>
      <c r="BF17" s="73" t="str">
        <f t="shared" si="47"/>
        <v/>
      </c>
      <c r="BG17" s="73">
        <f t="shared" si="48"/>
        <v>1</v>
      </c>
      <c r="BH17" s="73">
        <f t="shared" si="49"/>
        <v>0.97122302158273377</v>
      </c>
      <c r="BI17" s="73">
        <f t="shared" si="50"/>
        <v>1.0035971223021583</v>
      </c>
      <c r="BJ17" s="73">
        <f t="shared" si="51"/>
        <v>1.0179856115107915</v>
      </c>
      <c r="BK17" s="73">
        <f t="shared" si="52"/>
        <v>1.0215827338129495</v>
      </c>
      <c r="BL17" s="73">
        <f t="shared" si="53"/>
        <v>0.9928057553956835</v>
      </c>
      <c r="BM17" s="73">
        <f t="shared" si="54"/>
        <v>0.97122302158273377</v>
      </c>
      <c r="BN17" s="73">
        <f t="shared" si="55"/>
        <v>1.0287769784172662</v>
      </c>
      <c r="BO17" s="73">
        <f t="shared" si="56"/>
        <v>0.99640287769784164</v>
      </c>
      <c r="BP17" s="73">
        <f t="shared" si="57"/>
        <v>1.039568345323741</v>
      </c>
      <c r="BQ17" s="73">
        <f t="shared" si="58"/>
        <v>1.0071942446043165</v>
      </c>
      <c r="BR17" s="73">
        <f t="shared" si="59"/>
        <v>1.039568345323741</v>
      </c>
      <c r="BS17" s="73">
        <f t="shared" si="60"/>
        <v>1.0323741007194245</v>
      </c>
      <c r="BT17" s="73">
        <f t="shared" si="61"/>
        <v>0.92446043165467617</v>
      </c>
      <c r="BU17" s="73">
        <f t="shared" si="62"/>
        <v>1.014388489208633</v>
      </c>
      <c r="BV17" s="73">
        <f t="shared" si="63"/>
        <v>1.0359712230215827</v>
      </c>
      <c r="BW17" s="73">
        <f t="shared" si="64"/>
        <v>0.9928057553956835</v>
      </c>
      <c r="BX17" s="73">
        <f t="shared" si="65"/>
        <v>0.68705035971223027</v>
      </c>
      <c r="BY17" s="73">
        <f t="shared" si="66"/>
        <v>0.93165467625899268</v>
      </c>
      <c r="BZ17" s="73">
        <f t="shared" si="67"/>
        <v>1.0683453237410072</v>
      </c>
      <c r="CA17" s="73">
        <f t="shared" si="68"/>
        <v>1.0575539568345322</v>
      </c>
      <c r="CB17" s="73">
        <f t="shared" si="69"/>
        <v>1.1043165467625899</v>
      </c>
      <c r="CC17" s="73">
        <f t="shared" si="70"/>
        <v>1.079136690647482</v>
      </c>
      <c r="CD17" s="73">
        <f t="shared" si="71"/>
        <v>1.079136690647482</v>
      </c>
      <c r="CE17" s="73">
        <f t="shared" si="72"/>
        <v>1.0827338129496402</v>
      </c>
      <c r="CF17" s="73">
        <f t="shared" si="73"/>
        <v>1.0683453237410072</v>
      </c>
      <c r="CG17" s="73">
        <f t="shared" si="74"/>
        <v>1.0971223021582734</v>
      </c>
      <c r="CH17" s="73">
        <f t="shared" si="75"/>
        <v>1.1330935251798562</v>
      </c>
      <c r="CI17" s="73">
        <f t="shared" si="76"/>
        <v>1.1474820143884892</v>
      </c>
      <c r="CJ17" s="73">
        <f t="shared" si="77"/>
        <v>1.1654676258992804</v>
      </c>
      <c r="CK17" s="73" t="str">
        <f t="shared" si="78"/>
        <v/>
      </c>
      <c r="CL17" s="73" t="str">
        <f t="shared" si="79"/>
        <v/>
      </c>
      <c r="CM17" s="73" t="str">
        <f t="shared" si="80"/>
        <v/>
      </c>
      <c r="CN17" s="73" t="str">
        <f t="shared" si="81"/>
        <v/>
      </c>
      <c r="CO17" s="73" t="str">
        <f t="shared" si="82"/>
        <v/>
      </c>
      <c r="CP17" s="73" t="str">
        <f t="shared" si="83"/>
        <v/>
      </c>
      <c r="CQ17" s="73" t="str">
        <f t="shared" si="84"/>
        <v/>
      </c>
      <c r="CR17" s="73" t="str">
        <f t="shared" si="84"/>
        <v/>
      </c>
      <c r="CS17" s="73" t="str">
        <f t="shared" si="84"/>
        <v/>
      </c>
      <c r="CT17" s="73" t="str">
        <f t="shared" si="84"/>
        <v/>
      </c>
      <c r="CU17" s="73" t="str">
        <f t="shared" si="84"/>
        <v/>
      </c>
      <c r="CV17" s="73" t="str">
        <f t="shared" si="84"/>
        <v/>
      </c>
      <c r="CW17" s="3"/>
    </row>
    <row r="18" spans="1:101">
      <c r="A18" s="37">
        <v>1066025</v>
      </c>
      <c r="B18" s="1">
        <v>83</v>
      </c>
      <c r="C18" s="27" t="str">
        <f t="shared" si="45"/>
        <v>1066025-83</v>
      </c>
      <c r="D18" s="26" t="s">
        <v>20</v>
      </c>
      <c r="E18" s="34" t="s">
        <v>65</v>
      </c>
      <c r="F18" s="221">
        <v>42850</v>
      </c>
      <c r="G18" s="210" t="s">
        <v>68</v>
      </c>
      <c r="H18" s="83">
        <v>30</v>
      </c>
      <c r="I18" s="29">
        <v>42861</v>
      </c>
      <c r="J18" s="83">
        <v>30.4</v>
      </c>
      <c r="K18" s="36"/>
      <c r="L18" s="78">
        <v>30.4</v>
      </c>
      <c r="M18" s="83"/>
      <c r="N18" s="83">
        <v>30.4</v>
      </c>
      <c r="O18" s="83">
        <v>29.3</v>
      </c>
      <c r="P18" s="83">
        <v>30.1</v>
      </c>
      <c r="Q18" s="83">
        <v>30.6</v>
      </c>
      <c r="R18" s="83">
        <v>29.7</v>
      </c>
      <c r="S18" s="83">
        <v>30</v>
      </c>
      <c r="T18" s="83">
        <v>29.6</v>
      </c>
      <c r="U18" s="83">
        <v>32.200000000000003</v>
      </c>
      <c r="V18" s="83">
        <v>30.9</v>
      </c>
      <c r="W18" s="83">
        <v>32.200000000000003</v>
      </c>
      <c r="X18" s="83">
        <v>31.8</v>
      </c>
      <c r="Y18" s="83">
        <v>32.4</v>
      </c>
      <c r="Z18" s="83">
        <v>31.6</v>
      </c>
      <c r="AA18" s="83">
        <v>28</v>
      </c>
      <c r="AB18" s="83">
        <v>30</v>
      </c>
      <c r="AC18" s="83">
        <v>31</v>
      </c>
      <c r="AD18" s="83">
        <v>30.4</v>
      </c>
      <c r="AE18" s="83">
        <v>22.2</v>
      </c>
      <c r="AF18" s="83">
        <v>30.3</v>
      </c>
      <c r="AG18" s="83">
        <v>34.200000000000003</v>
      </c>
      <c r="AH18" s="83">
        <v>33.6</v>
      </c>
      <c r="AI18" s="83">
        <v>34.700000000000003</v>
      </c>
      <c r="AJ18" s="83">
        <v>34.1</v>
      </c>
      <c r="AK18" s="83">
        <v>33.700000000000003</v>
      </c>
      <c r="AL18" s="83">
        <v>33.9</v>
      </c>
      <c r="AM18" s="83">
        <v>34.1</v>
      </c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2"/>
      <c r="BE18" s="73">
        <f t="shared" si="46"/>
        <v>1</v>
      </c>
      <c r="BF18" s="73" t="str">
        <f t="shared" si="47"/>
        <v/>
      </c>
      <c r="BG18" s="73">
        <f t="shared" si="48"/>
        <v>1</v>
      </c>
      <c r="BH18" s="73">
        <f t="shared" si="49"/>
        <v>0.96381578947368429</v>
      </c>
      <c r="BI18" s="73">
        <f t="shared" si="50"/>
        <v>0.99013157894736847</v>
      </c>
      <c r="BJ18" s="73">
        <f t="shared" si="51"/>
        <v>1.0065789473684212</v>
      </c>
      <c r="BK18" s="73">
        <f t="shared" si="52"/>
        <v>0.97697368421052633</v>
      </c>
      <c r="BL18" s="73">
        <f t="shared" si="53"/>
        <v>0.98684210526315796</v>
      </c>
      <c r="BM18" s="73">
        <f t="shared" si="54"/>
        <v>0.97368421052631593</v>
      </c>
      <c r="BN18" s="73">
        <f t="shared" si="55"/>
        <v>1.0592105263157896</v>
      </c>
      <c r="BO18" s="73">
        <f t="shared" si="56"/>
        <v>1.0164473684210527</v>
      </c>
      <c r="BP18" s="73">
        <f t="shared" si="57"/>
        <v>1.0592105263157896</v>
      </c>
      <c r="BQ18" s="73">
        <f t="shared" si="58"/>
        <v>1.0460526315789473</v>
      </c>
      <c r="BR18" s="73">
        <f t="shared" si="59"/>
        <v>1.0657894736842106</v>
      </c>
      <c r="BS18" s="73">
        <f t="shared" si="60"/>
        <v>1.0394736842105263</v>
      </c>
      <c r="BT18" s="73">
        <f t="shared" si="61"/>
        <v>0.92105263157894746</v>
      </c>
      <c r="BU18" s="73">
        <f t="shared" si="62"/>
        <v>0.98684210526315796</v>
      </c>
      <c r="BV18" s="73">
        <f t="shared" si="63"/>
        <v>1.0197368421052633</v>
      </c>
      <c r="BW18" s="73">
        <f t="shared" si="64"/>
        <v>1</v>
      </c>
      <c r="BX18" s="73">
        <f t="shared" si="65"/>
        <v>0.73026315789473684</v>
      </c>
      <c r="BY18" s="73">
        <f t="shared" si="66"/>
        <v>0.99671052631578949</v>
      </c>
      <c r="BZ18" s="73">
        <f t="shared" si="67"/>
        <v>1.1250000000000002</v>
      </c>
      <c r="CA18" s="73">
        <f t="shared" si="68"/>
        <v>1.1052631578947369</v>
      </c>
      <c r="CB18" s="73">
        <f t="shared" si="69"/>
        <v>1.1414473684210529</v>
      </c>
      <c r="CC18" s="73">
        <f t="shared" si="70"/>
        <v>1.1217105263157896</v>
      </c>
      <c r="CD18" s="73">
        <f t="shared" si="71"/>
        <v>1.1085526315789476</v>
      </c>
      <c r="CE18" s="73">
        <f t="shared" si="72"/>
        <v>1.1151315789473684</v>
      </c>
      <c r="CF18" s="73">
        <f t="shared" si="73"/>
        <v>1.1217105263157896</v>
      </c>
      <c r="CG18" s="73" t="str">
        <f t="shared" si="74"/>
        <v/>
      </c>
      <c r="CH18" s="73" t="str">
        <f t="shared" si="75"/>
        <v/>
      </c>
      <c r="CI18" s="73" t="str">
        <f t="shared" si="76"/>
        <v/>
      </c>
      <c r="CJ18" s="73" t="str">
        <f t="shared" si="77"/>
        <v/>
      </c>
      <c r="CK18" s="73" t="str">
        <f t="shared" si="78"/>
        <v/>
      </c>
      <c r="CL18" s="73" t="str">
        <f t="shared" si="79"/>
        <v/>
      </c>
      <c r="CM18" s="73" t="str">
        <f t="shared" si="80"/>
        <v/>
      </c>
      <c r="CN18" s="73" t="str">
        <f t="shared" si="81"/>
        <v/>
      </c>
      <c r="CO18" s="73" t="str">
        <f t="shared" si="82"/>
        <v/>
      </c>
      <c r="CP18" s="73" t="str">
        <f t="shared" si="83"/>
        <v/>
      </c>
      <c r="CQ18" s="73" t="str">
        <f t="shared" si="84"/>
        <v/>
      </c>
      <c r="CR18" s="73" t="str">
        <f t="shared" si="84"/>
        <v/>
      </c>
      <c r="CS18" s="73" t="str">
        <f t="shared" si="84"/>
        <v/>
      </c>
      <c r="CT18" s="73" t="str">
        <f t="shared" si="84"/>
        <v/>
      </c>
      <c r="CU18" s="73" t="str">
        <f t="shared" si="84"/>
        <v/>
      </c>
      <c r="CV18" s="73" t="str">
        <f t="shared" si="84"/>
        <v/>
      </c>
      <c r="CW18" s="3"/>
    </row>
    <row r="19" spans="1:101">
      <c r="A19" s="37">
        <v>1066025</v>
      </c>
      <c r="B19" s="1">
        <v>84</v>
      </c>
      <c r="C19" s="27" t="str">
        <f t="shared" si="45"/>
        <v>1066025-84</v>
      </c>
      <c r="D19" s="26" t="s">
        <v>20</v>
      </c>
      <c r="E19" s="34" t="s">
        <v>64</v>
      </c>
      <c r="F19" s="221">
        <v>42850</v>
      </c>
      <c r="G19" s="210" t="s">
        <v>68</v>
      </c>
      <c r="H19" s="83">
        <v>27.2</v>
      </c>
      <c r="I19" s="29">
        <v>42861</v>
      </c>
      <c r="J19" s="83">
        <v>28.6</v>
      </c>
      <c r="K19" s="36"/>
      <c r="L19" s="78">
        <v>27.4</v>
      </c>
      <c r="M19" s="83"/>
      <c r="N19" s="83">
        <v>28.6</v>
      </c>
      <c r="O19" s="83">
        <v>28</v>
      </c>
      <c r="P19" s="83">
        <v>28.1</v>
      </c>
      <c r="Q19" s="83">
        <v>28.3</v>
      </c>
      <c r="R19" s="83">
        <v>28.9</v>
      </c>
      <c r="S19" s="83">
        <v>28.3</v>
      </c>
      <c r="T19" s="83">
        <v>28.1</v>
      </c>
      <c r="U19" s="83">
        <v>29.4</v>
      </c>
      <c r="V19" s="83">
        <v>28.6</v>
      </c>
      <c r="W19" s="83">
        <v>29.9</v>
      </c>
      <c r="X19" s="83">
        <v>28.8</v>
      </c>
      <c r="Y19" s="83">
        <v>29.8</v>
      </c>
      <c r="Z19" s="83">
        <v>29.3</v>
      </c>
      <c r="AA19" s="83">
        <v>26.3</v>
      </c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2"/>
      <c r="BE19" s="73">
        <f t="shared" si="46"/>
        <v>0.95804195804195791</v>
      </c>
      <c r="BF19" s="73" t="str">
        <f t="shared" si="47"/>
        <v/>
      </c>
      <c r="BG19" s="73">
        <f t="shared" si="48"/>
        <v>1</v>
      </c>
      <c r="BH19" s="73">
        <f t="shared" si="49"/>
        <v>0.97902097902097895</v>
      </c>
      <c r="BI19" s="73">
        <f t="shared" si="50"/>
        <v>0.9825174825174825</v>
      </c>
      <c r="BJ19" s="73">
        <f t="shared" si="51"/>
        <v>0.98951048951048948</v>
      </c>
      <c r="BK19" s="73">
        <f t="shared" si="52"/>
        <v>1.0104895104895104</v>
      </c>
      <c r="BL19" s="73">
        <f t="shared" si="53"/>
        <v>0.98951048951048948</v>
      </c>
      <c r="BM19" s="73">
        <f t="shared" si="54"/>
        <v>0.9825174825174825</v>
      </c>
      <c r="BN19" s="73">
        <f t="shared" si="55"/>
        <v>1.0279720279720279</v>
      </c>
      <c r="BO19" s="73">
        <f t="shared" si="56"/>
        <v>1</v>
      </c>
      <c r="BP19" s="73">
        <f t="shared" si="57"/>
        <v>1.0454545454545454</v>
      </c>
      <c r="BQ19" s="73">
        <f t="shared" si="58"/>
        <v>1.0069930069930069</v>
      </c>
      <c r="BR19" s="73">
        <f t="shared" si="59"/>
        <v>1.0419580419580419</v>
      </c>
      <c r="BS19" s="73">
        <f t="shared" si="60"/>
        <v>1.0244755244755244</v>
      </c>
      <c r="BT19" s="73">
        <f t="shared" si="61"/>
        <v>0.91958041958041958</v>
      </c>
      <c r="BU19" s="73" t="str">
        <f t="shared" si="62"/>
        <v/>
      </c>
      <c r="BV19" s="73" t="str">
        <f t="shared" si="63"/>
        <v/>
      </c>
      <c r="BW19" s="73" t="str">
        <f t="shared" si="64"/>
        <v/>
      </c>
      <c r="BX19" s="73" t="str">
        <f t="shared" si="65"/>
        <v/>
      </c>
      <c r="BY19" s="73" t="str">
        <f t="shared" si="66"/>
        <v/>
      </c>
      <c r="BZ19" s="73" t="str">
        <f t="shared" si="67"/>
        <v/>
      </c>
      <c r="CA19" s="73" t="str">
        <f t="shared" si="68"/>
        <v/>
      </c>
      <c r="CB19" s="73" t="str">
        <f t="shared" si="69"/>
        <v/>
      </c>
      <c r="CC19" s="73" t="str">
        <f t="shared" si="70"/>
        <v/>
      </c>
      <c r="CD19" s="73" t="str">
        <f t="shared" si="71"/>
        <v/>
      </c>
      <c r="CE19" s="73" t="str">
        <f t="shared" si="72"/>
        <v/>
      </c>
      <c r="CF19" s="73" t="str">
        <f t="shared" si="73"/>
        <v/>
      </c>
      <c r="CG19" s="73" t="str">
        <f t="shared" si="74"/>
        <v/>
      </c>
      <c r="CH19" s="73" t="str">
        <f t="shared" si="75"/>
        <v/>
      </c>
      <c r="CI19" s="73" t="str">
        <f t="shared" si="76"/>
        <v/>
      </c>
      <c r="CJ19" s="73" t="str">
        <f t="shared" si="77"/>
        <v/>
      </c>
      <c r="CK19" s="73" t="str">
        <f t="shared" si="78"/>
        <v/>
      </c>
      <c r="CL19" s="73" t="str">
        <f t="shared" si="79"/>
        <v/>
      </c>
      <c r="CM19" s="73" t="str">
        <f t="shared" si="80"/>
        <v/>
      </c>
      <c r="CN19" s="73" t="str">
        <f t="shared" si="81"/>
        <v/>
      </c>
      <c r="CO19" s="73" t="str">
        <f t="shared" si="82"/>
        <v/>
      </c>
      <c r="CP19" s="73" t="str">
        <f t="shared" si="83"/>
        <v/>
      </c>
      <c r="CQ19" s="73" t="str">
        <f t="shared" si="84"/>
        <v/>
      </c>
      <c r="CR19" s="73" t="str">
        <f t="shared" si="84"/>
        <v/>
      </c>
      <c r="CS19" s="73" t="str">
        <f t="shared" si="84"/>
        <v/>
      </c>
      <c r="CT19" s="73" t="str">
        <f t="shared" si="84"/>
        <v/>
      </c>
      <c r="CU19" s="73" t="str">
        <f t="shared" si="84"/>
        <v/>
      </c>
      <c r="CV19" s="73" t="str">
        <f t="shared" si="84"/>
        <v/>
      </c>
      <c r="CW19" s="3"/>
    </row>
    <row r="20" spans="1:101">
      <c r="A20" s="37">
        <v>1066025</v>
      </c>
      <c r="B20" s="1">
        <v>85</v>
      </c>
      <c r="C20" s="27" t="str">
        <f t="shared" si="45"/>
        <v>1066025-85</v>
      </c>
      <c r="D20" s="26" t="s">
        <v>20</v>
      </c>
      <c r="E20" s="28" t="s">
        <v>64</v>
      </c>
      <c r="F20" s="221">
        <v>42850</v>
      </c>
      <c r="G20" s="210" t="s">
        <v>68</v>
      </c>
      <c r="H20" s="83">
        <v>26.6</v>
      </c>
      <c r="I20" s="29">
        <v>42861</v>
      </c>
      <c r="J20" s="83">
        <v>28.2</v>
      </c>
      <c r="K20" s="36"/>
      <c r="L20" s="78">
        <v>27.2</v>
      </c>
      <c r="M20" s="83"/>
      <c r="N20" s="83">
        <v>28.2</v>
      </c>
      <c r="O20" s="83">
        <v>28.1</v>
      </c>
      <c r="P20" s="83">
        <v>27.8</v>
      </c>
      <c r="Q20" s="83">
        <v>27.7</v>
      </c>
      <c r="R20" s="83">
        <v>28.1</v>
      </c>
      <c r="S20" s="83">
        <v>27.7</v>
      </c>
      <c r="T20" s="83">
        <v>27.2</v>
      </c>
      <c r="U20" s="83">
        <v>28.4</v>
      </c>
      <c r="V20" s="83">
        <v>27.5</v>
      </c>
      <c r="W20" s="83">
        <v>28.6</v>
      </c>
      <c r="X20" s="83">
        <v>28</v>
      </c>
      <c r="Y20" s="83">
        <v>28.4</v>
      </c>
      <c r="Z20" s="83">
        <v>27.5</v>
      </c>
      <c r="AA20" s="83">
        <v>25.2</v>
      </c>
      <c r="AB20" s="83">
        <v>27.2</v>
      </c>
      <c r="AC20" s="83">
        <v>27.7</v>
      </c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"/>
      <c r="BE20" s="73">
        <f t="shared" si="46"/>
        <v>0.96453900709219853</v>
      </c>
      <c r="BF20" s="73" t="str">
        <f t="shared" si="47"/>
        <v/>
      </c>
      <c r="BG20" s="73">
        <f t="shared" si="48"/>
        <v>1</v>
      </c>
      <c r="BH20" s="73">
        <f t="shared" si="49"/>
        <v>0.99645390070921991</v>
      </c>
      <c r="BI20" s="73">
        <f t="shared" si="50"/>
        <v>0.98581560283687952</v>
      </c>
      <c r="BJ20" s="73">
        <f t="shared" si="51"/>
        <v>0.98226950354609932</v>
      </c>
      <c r="BK20" s="73">
        <f t="shared" si="52"/>
        <v>0.99645390070921991</v>
      </c>
      <c r="BL20" s="73">
        <f t="shared" si="53"/>
        <v>0.98226950354609932</v>
      </c>
      <c r="BM20" s="73">
        <f t="shared" si="54"/>
        <v>0.96453900709219853</v>
      </c>
      <c r="BN20" s="73">
        <f t="shared" si="55"/>
        <v>1.0070921985815602</v>
      </c>
      <c r="BO20" s="73">
        <f t="shared" si="56"/>
        <v>0.97517730496453903</v>
      </c>
      <c r="BP20" s="73">
        <f t="shared" si="57"/>
        <v>1.0141843971631206</v>
      </c>
      <c r="BQ20" s="73">
        <f t="shared" si="58"/>
        <v>0.99290780141843971</v>
      </c>
      <c r="BR20" s="73">
        <f t="shared" si="59"/>
        <v>1.0070921985815602</v>
      </c>
      <c r="BS20" s="73">
        <f t="shared" si="60"/>
        <v>0.97517730496453903</v>
      </c>
      <c r="BT20" s="73">
        <f t="shared" si="61"/>
        <v>0.8936170212765957</v>
      </c>
      <c r="BU20" s="73">
        <f t="shared" si="62"/>
        <v>0.96453900709219853</v>
      </c>
      <c r="BV20" s="73">
        <f t="shared" si="63"/>
        <v>0.98226950354609932</v>
      </c>
      <c r="BW20" s="73" t="str">
        <f t="shared" si="64"/>
        <v/>
      </c>
      <c r="BX20" s="73" t="str">
        <f t="shared" si="65"/>
        <v/>
      </c>
      <c r="BY20" s="73" t="str">
        <f t="shared" si="66"/>
        <v/>
      </c>
      <c r="BZ20" s="73" t="str">
        <f t="shared" si="67"/>
        <v/>
      </c>
      <c r="CA20" s="73" t="str">
        <f t="shared" si="68"/>
        <v/>
      </c>
      <c r="CB20" s="73" t="str">
        <f t="shared" si="69"/>
        <v/>
      </c>
      <c r="CC20" s="73" t="str">
        <f t="shared" si="70"/>
        <v/>
      </c>
      <c r="CD20" s="73" t="str">
        <f t="shared" si="71"/>
        <v/>
      </c>
      <c r="CE20" s="73" t="str">
        <f t="shared" si="72"/>
        <v/>
      </c>
      <c r="CF20" s="73" t="str">
        <f t="shared" si="73"/>
        <v/>
      </c>
      <c r="CG20" s="73" t="str">
        <f t="shared" si="74"/>
        <v/>
      </c>
      <c r="CH20" s="73" t="str">
        <f t="shared" si="75"/>
        <v/>
      </c>
      <c r="CI20" s="73" t="str">
        <f t="shared" si="76"/>
        <v/>
      </c>
      <c r="CJ20" s="73" t="str">
        <f t="shared" si="77"/>
        <v/>
      </c>
      <c r="CK20" s="73" t="str">
        <f t="shared" si="78"/>
        <v/>
      </c>
      <c r="CL20" s="73" t="str">
        <f t="shared" si="79"/>
        <v/>
      </c>
      <c r="CM20" s="73" t="str">
        <f t="shared" si="80"/>
        <v/>
      </c>
      <c r="CN20" s="73" t="str">
        <f t="shared" si="81"/>
        <v/>
      </c>
      <c r="CO20" s="73" t="str">
        <f t="shared" si="82"/>
        <v/>
      </c>
      <c r="CP20" s="73" t="str">
        <f t="shared" si="83"/>
        <v/>
      </c>
      <c r="CQ20" s="73" t="str">
        <f t="shared" si="84"/>
        <v/>
      </c>
      <c r="CR20" s="73" t="str">
        <f t="shared" si="84"/>
        <v/>
      </c>
      <c r="CS20" s="73" t="str">
        <f t="shared" si="84"/>
        <v/>
      </c>
      <c r="CT20" s="73" t="str">
        <f t="shared" si="84"/>
        <v/>
      </c>
      <c r="CU20" s="73" t="str">
        <f t="shared" si="84"/>
        <v/>
      </c>
      <c r="CV20" s="73" t="str">
        <f t="shared" si="84"/>
        <v/>
      </c>
      <c r="CW20" s="3"/>
    </row>
    <row r="21" spans="1:101">
      <c r="A21" s="37">
        <v>1066026</v>
      </c>
      <c r="B21" s="1">
        <v>91</v>
      </c>
      <c r="C21" s="27" t="str">
        <f t="shared" si="45"/>
        <v>1066026-91</v>
      </c>
      <c r="D21" s="26" t="s">
        <v>20</v>
      </c>
      <c r="E21" s="34" t="s">
        <v>64</v>
      </c>
      <c r="F21" s="221">
        <v>42850</v>
      </c>
      <c r="G21" s="210" t="s">
        <v>68</v>
      </c>
      <c r="H21" s="83">
        <v>29.2</v>
      </c>
      <c r="I21" s="29">
        <v>42861</v>
      </c>
      <c r="J21" s="83">
        <v>29.4</v>
      </c>
      <c r="K21" s="36"/>
      <c r="L21" s="78">
        <v>28.8</v>
      </c>
      <c r="M21" s="83"/>
      <c r="N21" s="83">
        <v>29.4</v>
      </c>
      <c r="O21" s="83">
        <v>29.4</v>
      </c>
      <c r="P21" s="83">
        <v>30</v>
      </c>
      <c r="Q21" s="83">
        <v>30.1</v>
      </c>
      <c r="R21" s="83">
        <v>30</v>
      </c>
      <c r="S21" s="83">
        <v>29.5</v>
      </c>
      <c r="T21" s="83">
        <v>29.3</v>
      </c>
      <c r="U21" s="83">
        <v>30.6</v>
      </c>
      <c r="V21" s="83">
        <v>29.8</v>
      </c>
      <c r="W21" s="83">
        <v>31.1</v>
      </c>
      <c r="X21" s="83">
        <v>30.4</v>
      </c>
      <c r="Y21" s="83">
        <v>30.9</v>
      </c>
      <c r="Z21" s="83">
        <v>30.8</v>
      </c>
      <c r="AA21" s="83">
        <v>29</v>
      </c>
      <c r="AB21" s="83">
        <v>30.1</v>
      </c>
      <c r="AC21" s="83">
        <v>31.5</v>
      </c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2"/>
      <c r="BE21" s="73">
        <f t="shared" si="46"/>
        <v>0.97959183673469397</v>
      </c>
      <c r="BF21" s="73" t="str">
        <f t="shared" si="47"/>
        <v/>
      </c>
      <c r="BG21" s="73">
        <f t="shared" si="48"/>
        <v>1</v>
      </c>
      <c r="BH21" s="73">
        <f t="shared" si="49"/>
        <v>1</v>
      </c>
      <c r="BI21" s="73">
        <f t="shared" si="50"/>
        <v>1.0204081632653061</v>
      </c>
      <c r="BJ21" s="73">
        <f t="shared" si="51"/>
        <v>1.0238095238095239</v>
      </c>
      <c r="BK21" s="73">
        <f t="shared" si="52"/>
        <v>1.0204081632653061</v>
      </c>
      <c r="BL21" s="73">
        <f t="shared" si="53"/>
        <v>1.0034013605442178</v>
      </c>
      <c r="BM21" s="73">
        <f t="shared" si="54"/>
        <v>0.99659863945578242</v>
      </c>
      <c r="BN21" s="73">
        <f t="shared" si="55"/>
        <v>1.0408163265306123</v>
      </c>
      <c r="BO21" s="73">
        <f t="shared" si="56"/>
        <v>1.0136054421768708</v>
      </c>
      <c r="BP21" s="73">
        <f t="shared" si="57"/>
        <v>1.0578231292517009</v>
      </c>
      <c r="BQ21" s="73">
        <f t="shared" si="58"/>
        <v>1.0340136054421769</v>
      </c>
      <c r="BR21" s="73">
        <f t="shared" si="59"/>
        <v>1.0510204081632653</v>
      </c>
      <c r="BS21" s="73">
        <f t="shared" si="60"/>
        <v>1.0476190476190477</v>
      </c>
      <c r="BT21" s="73">
        <f t="shared" si="61"/>
        <v>0.98639455782312935</v>
      </c>
      <c r="BU21" s="73">
        <f t="shared" si="62"/>
        <v>1.0238095238095239</v>
      </c>
      <c r="BV21" s="73">
        <f t="shared" si="63"/>
        <v>1.0714285714285714</v>
      </c>
      <c r="BW21" s="73" t="str">
        <f t="shared" si="64"/>
        <v/>
      </c>
      <c r="BX21" s="73" t="str">
        <f t="shared" si="65"/>
        <v/>
      </c>
      <c r="BY21" s="73" t="str">
        <f t="shared" si="66"/>
        <v/>
      </c>
      <c r="BZ21" s="73" t="str">
        <f t="shared" si="67"/>
        <v/>
      </c>
      <c r="CA21" s="73" t="str">
        <f t="shared" si="68"/>
        <v/>
      </c>
      <c r="CB21" s="73" t="str">
        <f t="shared" si="69"/>
        <v/>
      </c>
      <c r="CC21" s="73" t="str">
        <f t="shared" si="70"/>
        <v/>
      </c>
      <c r="CD21" s="73" t="str">
        <f t="shared" si="71"/>
        <v/>
      </c>
      <c r="CE21" s="73" t="str">
        <f t="shared" si="72"/>
        <v/>
      </c>
      <c r="CF21" s="73" t="str">
        <f t="shared" si="73"/>
        <v/>
      </c>
      <c r="CG21" s="73" t="str">
        <f t="shared" si="74"/>
        <v/>
      </c>
      <c r="CH21" s="73" t="str">
        <f t="shared" si="75"/>
        <v/>
      </c>
      <c r="CI21" s="73" t="str">
        <f t="shared" si="76"/>
        <v/>
      </c>
      <c r="CJ21" s="73" t="str">
        <f t="shared" si="77"/>
        <v/>
      </c>
      <c r="CK21" s="73" t="str">
        <f t="shared" si="78"/>
        <v/>
      </c>
      <c r="CL21" s="73" t="str">
        <f t="shared" si="79"/>
        <v/>
      </c>
      <c r="CM21" s="73" t="str">
        <f t="shared" si="80"/>
        <v/>
      </c>
      <c r="CN21" s="73" t="str">
        <f t="shared" si="81"/>
        <v/>
      </c>
      <c r="CO21" s="73" t="str">
        <f t="shared" si="82"/>
        <v/>
      </c>
      <c r="CP21" s="73" t="str">
        <f t="shared" si="83"/>
        <v/>
      </c>
      <c r="CQ21" s="73" t="str">
        <f t="shared" si="84"/>
        <v/>
      </c>
      <c r="CR21" s="73" t="str">
        <f t="shared" si="84"/>
        <v/>
      </c>
      <c r="CS21" s="73" t="str">
        <f t="shared" si="84"/>
        <v/>
      </c>
      <c r="CT21" s="73" t="str">
        <f t="shared" si="84"/>
        <v/>
      </c>
      <c r="CU21" s="73" t="str">
        <f t="shared" si="84"/>
        <v/>
      </c>
      <c r="CV21" s="73" t="str">
        <f t="shared" si="84"/>
        <v/>
      </c>
      <c r="CW21" s="3"/>
    </row>
    <row r="22" spans="1:101">
      <c r="A22" s="37">
        <v>1066026</v>
      </c>
      <c r="B22" s="1">
        <v>92</v>
      </c>
      <c r="C22" s="27" t="str">
        <f t="shared" si="45"/>
        <v>1066026-92</v>
      </c>
      <c r="D22" s="26" t="s">
        <v>20</v>
      </c>
      <c r="E22" s="34" t="s">
        <v>64</v>
      </c>
      <c r="F22" s="221">
        <v>42850</v>
      </c>
      <c r="G22" s="210" t="s">
        <v>68</v>
      </c>
      <c r="H22" s="83">
        <v>28.5</v>
      </c>
      <c r="I22" s="29">
        <v>42861</v>
      </c>
      <c r="J22" s="83">
        <v>30.7</v>
      </c>
      <c r="K22" s="36"/>
      <c r="L22" s="78">
        <v>29.8</v>
      </c>
      <c r="M22" s="83"/>
      <c r="N22" s="83">
        <v>30.7</v>
      </c>
      <c r="O22" s="83">
        <v>29.6</v>
      </c>
      <c r="P22" s="83">
        <v>30.4</v>
      </c>
      <c r="Q22" s="83">
        <v>30.2</v>
      </c>
      <c r="R22" s="83">
        <v>30</v>
      </c>
      <c r="S22" s="83">
        <v>29.4</v>
      </c>
      <c r="T22" s="83">
        <v>29.8</v>
      </c>
      <c r="U22" s="83">
        <v>31.1</v>
      </c>
      <c r="V22" s="83">
        <v>29.7</v>
      </c>
      <c r="W22" s="83">
        <v>31.6</v>
      </c>
      <c r="X22" s="83">
        <v>30.6</v>
      </c>
      <c r="Y22" s="83">
        <v>31.6</v>
      </c>
      <c r="Z22" s="83">
        <v>31.5</v>
      </c>
      <c r="AA22" s="83">
        <v>28.9</v>
      </c>
      <c r="AB22" s="83">
        <v>30.3</v>
      </c>
      <c r="AC22" s="83">
        <v>32.299999999999997</v>
      </c>
      <c r="AD22" s="83">
        <v>31.4</v>
      </c>
      <c r="AE22" s="83">
        <v>32.4</v>
      </c>
      <c r="AF22" s="83">
        <v>31.9</v>
      </c>
      <c r="AG22" s="83">
        <v>32</v>
      </c>
      <c r="AH22" s="83">
        <v>31.9</v>
      </c>
      <c r="AI22" s="83">
        <v>23.3</v>
      </c>
      <c r="AJ22" s="83">
        <v>31.3</v>
      </c>
      <c r="AK22" s="83">
        <v>32.1</v>
      </c>
      <c r="AL22" s="83">
        <v>31.6</v>
      </c>
      <c r="AM22" s="83">
        <v>32.200000000000003</v>
      </c>
      <c r="AN22" s="83">
        <v>31.9</v>
      </c>
      <c r="AO22" s="83">
        <v>33.200000000000003</v>
      </c>
      <c r="AP22" s="83">
        <v>33</v>
      </c>
      <c r="AQ22" s="83">
        <v>32.5</v>
      </c>
      <c r="AR22" s="83">
        <v>31.9</v>
      </c>
      <c r="AS22" s="83">
        <v>31.4</v>
      </c>
      <c r="AT22" s="83">
        <v>31.2</v>
      </c>
      <c r="AU22" s="83">
        <v>31.6</v>
      </c>
      <c r="AV22" s="83">
        <v>31.7</v>
      </c>
      <c r="AW22" s="83">
        <v>31.6</v>
      </c>
      <c r="AX22" s="83">
        <v>29.8</v>
      </c>
      <c r="AY22" s="83">
        <v>29.5</v>
      </c>
      <c r="AZ22" s="83">
        <v>29.4</v>
      </c>
      <c r="BA22" s="83">
        <v>30.6</v>
      </c>
      <c r="BB22" s="83">
        <v>31.8</v>
      </c>
      <c r="BC22" s="83">
        <v>31.8</v>
      </c>
      <c r="BD22" s="2"/>
      <c r="BE22" s="73">
        <f t="shared" si="46"/>
        <v>0.97068403908794798</v>
      </c>
      <c r="BF22" s="73" t="str">
        <f t="shared" si="47"/>
        <v/>
      </c>
      <c r="BG22" s="73">
        <f t="shared" si="48"/>
        <v>1</v>
      </c>
      <c r="BH22" s="73">
        <f t="shared" si="49"/>
        <v>0.96416938110749195</v>
      </c>
      <c r="BI22" s="73">
        <f t="shared" si="50"/>
        <v>0.99022801302931596</v>
      </c>
      <c r="BJ22" s="73">
        <f t="shared" si="51"/>
        <v>0.98371335504885993</v>
      </c>
      <c r="BK22" s="73">
        <f t="shared" si="52"/>
        <v>0.9771986970684039</v>
      </c>
      <c r="BL22" s="73">
        <f t="shared" si="53"/>
        <v>0.95765472312703581</v>
      </c>
      <c r="BM22" s="73">
        <f t="shared" si="54"/>
        <v>0.97068403908794798</v>
      </c>
      <c r="BN22" s="73">
        <f t="shared" si="55"/>
        <v>1.0130293159609121</v>
      </c>
      <c r="BO22" s="73">
        <f t="shared" si="56"/>
        <v>0.96742671009771986</v>
      </c>
      <c r="BP22" s="73">
        <f t="shared" si="57"/>
        <v>1.0293159609120521</v>
      </c>
      <c r="BQ22" s="73">
        <f t="shared" si="58"/>
        <v>0.9967426710097721</v>
      </c>
      <c r="BR22" s="73">
        <f t="shared" si="59"/>
        <v>1.0293159609120521</v>
      </c>
      <c r="BS22" s="73">
        <f t="shared" si="60"/>
        <v>1.0260586319218241</v>
      </c>
      <c r="BT22" s="73">
        <f t="shared" si="61"/>
        <v>0.94136807817589574</v>
      </c>
      <c r="BU22" s="73">
        <f t="shared" si="62"/>
        <v>0.98697068403908794</v>
      </c>
      <c r="BV22" s="73">
        <f t="shared" si="63"/>
        <v>1.0521172638436482</v>
      </c>
      <c r="BW22" s="73">
        <f t="shared" si="64"/>
        <v>1.0228013029315961</v>
      </c>
      <c r="BX22" s="73">
        <f t="shared" si="65"/>
        <v>1.0553745928338762</v>
      </c>
      <c r="BY22" s="73">
        <f t="shared" si="66"/>
        <v>1.0390879478827362</v>
      </c>
      <c r="BZ22" s="73">
        <f t="shared" si="67"/>
        <v>1.0423452768729642</v>
      </c>
      <c r="CA22" s="73">
        <f t="shared" si="68"/>
        <v>1.0390879478827362</v>
      </c>
      <c r="CB22" s="73">
        <f t="shared" si="69"/>
        <v>0.75895765472312704</v>
      </c>
      <c r="CC22" s="73">
        <f t="shared" si="70"/>
        <v>1.0195439739413681</v>
      </c>
      <c r="CD22" s="73">
        <f t="shared" si="71"/>
        <v>1.0456026058631922</v>
      </c>
      <c r="CE22" s="73">
        <f t="shared" si="72"/>
        <v>1.0293159609120521</v>
      </c>
      <c r="CF22" s="73">
        <f t="shared" si="73"/>
        <v>1.0488599348534202</v>
      </c>
      <c r="CG22" s="73">
        <f t="shared" si="74"/>
        <v>1.0390879478827362</v>
      </c>
      <c r="CH22" s="73">
        <f t="shared" si="75"/>
        <v>1.0814332247557004</v>
      </c>
      <c r="CI22" s="73">
        <f t="shared" si="76"/>
        <v>1.0749185667752443</v>
      </c>
      <c r="CJ22" s="73">
        <f t="shared" si="77"/>
        <v>1.0586319218241043</v>
      </c>
      <c r="CK22" s="73">
        <f t="shared" si="78"/>
        <v>1.0390879478827362</v>
      </c>
      <c r="CL22" s="73">
        <f t="shared" si="79"/>
        <v>1.0228013029315961</v>
      </c>
      <c r="CM22" s="73">
        <f t="shared" si="80"/>
        <v>1.0162866449511401</v>
      </c>
      <c r="CN22" s="73">
        <f t="shared" si="81"/>
        <v>1.0293159609120521</v>
      </c>
      <c r="CO22" s="73">
        <f t="shared" si="82"/>
        <v>1.0325732899022801</v>
      </c>
      <c r="CP22" s="73">
        <f t="shared" si="83"/>
        <v>1.0293159609120521</v>
      </c>
      <c r="CQ22" s="73">
        <f t="shared" si="84"/>
        <v>0.97068403908794798</v>
      </c>
      <c r="CR22" s="73">
        <f t="shared" si="84"/>
        <v>0.96091205211726383</v>
      </c>
      <c r="CS22" s="73">
        <f t="shared" si="84"/>
        <v>0.95765472312703581</v>
      </c>
      <c r="CT22" s="73">
        <f t="shared" si="84"/>
        <v>0.9967426710097721</v>
      </c>
      <c r="CU22" s="73">
        <f t="shared" si="84"/>
        <v>1.0358306188925082</v>
      </c>
      <c r="CV22" s="73">
        <f t="shared" si="84"/>
        <v>1.0358306188925082</v>
      </c>
      <c r="CW22" s="3"/>
    </row>
    <row r="23" spans="1:101">
      <c r="A23" s="37">
        <v>1066026</v>
      </c>
      <c r="B23" s="1">
        <v>93</v>
      </c>
      <c r="C23" s="27" t="str">
        <f t="shared" si="45"/>
        <v>1066026-93</v>
      </c>
      <c r="D23" s="26" t="s">
        <v>20</v>
      </c>
      <c r="E23" s="34" t="s">
        <v>65</v>
      </c>
      <c r="F23" s="221">
        <v>42850</v>
      </c>
      <c r="G23" s="210" t="s">
        <v>68</v>
      </c>
      <c r="H23" s="83">
        <v>27.3</v>
      </c>
      <c r="I23" s="29">
        <v>42861</v>
      </c>
      <c r="J23" s="83">
        <v>27.6</v>
      </c>
      <c r="K23" s="36"/>
      <c r="L23" s="78">
        <v>27.8</v>
      </c>
      <c r="M23" s="83"/>
      <c r="N23" s="83">
        <v>27.6</v>
      </c>
      <c r="O23" s="83">
        <v>27.3</v>
      </c>
      <c r="P23" s="83">
        <v>27.8</v>
      </c>
      <c r="Q23" s="83">
        <v>27.9</v>
      </c>
      <c r="R23" s="83">
        <v>27</v>
      </c>
      <c r="S23" s="83">
        <v>27.4</v>
      </c>
      <c r="T23" s="83">
        <v>27.3</v>
      </c>
      <c r="U23" s="83">
        <v>28.6</v>
      </c>
      <c r="V23" s="83">
        <v>27.7</v>
      </c>
      <c r="W23" s="83">
        <v>29.2</v>
      </c>
      <c r="X23" s="83">
        <v>28.5</v>
      </c>
      <c r="Y23" s="83">
        <v>29.2</v>
      </c>
      <c r="Z23" s="83">
        <v>28.9</v>
      </c>
      <c r="AA23" s="83">
        <v>26.9</v>
      </c>
      <c r="AB23" s="83">
        <v>28.2</v>
      </c>
      <c r="AC23" s="83">
        <v>29.5</v>
      </c>
      <c r="AD23" s="83">
        <v>28.7</v>
      </c>
      <c r="AE23" s="83">
        <v>29.3</v>
      </c>
      <c r="AF23" s="83">
        <v>29.2</v>
      </c>
      <c r="AG23" s="83">
        <v>29.2</v>
      </c>
      <c r="AH23" s="83">
        <v>29.4</v>
      </c>
      <c r="AI23" s="83">
        <v>21.8</v>
      </c>
      <c r="AJ23" s="83">
        <v>28.7</v>
      </c>
      <c r="AK23" s="83">
        <v>29.6</v>
      </c>
      <c r="AL23" s="83">
        <v>29.5</v>
      </c>
      <c r="AM23" s="83">
        <v>30</v>
      </c>
      <c r="AN23" s="83">
        <v>30.3</v>
      </c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2"/>
      <c r="BE23" s="73">
        <f t="shared" si="46"/>
        <v>1.0072463768115942</v>
      </c>
      <c r="BF23" s="73" t="str">
        <f t="shared" si="47"/>
        <v/>
      </c>
      <c r="BG23" s="73">
        <f t="shared" si="48"/>
        <v>1</v>
      </c>
      <c r="BH23" s="73">
        <f t="shared" si="49"/>
        <v>0.98913043478260865</v>
      </c>
      <c r="BI23" s="73">
        <f t="shared" si="50"/>
        <v>1.0072463768115942</v>
      </c>
      <c r="BJ23" s="73">
        <f t="shared" si="51"/>
        <v>1.0108695652173911</v>
      </c>
      <c r="BK23" s="73">
        <f t="shared" si="52"/>
        <v>0.97826086956521729</v>
      </c>
      <c r="BL23" s="73">
        <f t="shared" si="53"/>
        <v>0.99275362318840565</v>
      </c>
      <c r="BM23" s="73">
        <f t="shared" si="54"/>
        <v>0.98913043478260865</v>
      </c>
      <c r="BN23" s="73">
        <f t="shared" si="55"/>
        <v>1.036231884057971</v>
      </c>
      <c r="BO23" s="73">
        <f t="shared" si="56"/>
        <v>1.0036231884057971</v>
      </c>
      <c r="BP23" s="73">
        <f t="shared" si="57"/>
        <v>1.0579710144927534</v>
      </c>
      <c r="BQ23" s="73">
        <f t="shared" si="58"/>
        <v>1.0326086956521738</v>
      </c>
      <c r="BR23" s="73">
        <f t="shared" si="59"/>
        <v>1.0579710144927534</v>
      </c>
      <c r="BS23" s="73">
        <f t="shared" si="60"/>
        <v>1.0471014492753623</v>
      </c>
      <c r="BT23" s="73">
        <f t="shared" si="61"/>
        <v>0.97463768115942018</v>
      </c>
      <c r="BU23" s="73">
        <f t="shared" si="62"/>
        <v>1.0217391304347825</v>
      </c>
      <c r="BV23" s="73">
        <f t="shared" si="63"/>
        <v>1.0688405797101448</v>
      </c>
      <c r="BW23" s="73">
        <f t="shared" si="64"/>
        <v>1.0398550724637681</v>
      </c>
      <c r="BX23" s="73">
        <f t="shared" si="65"/>
        <v>1.0615942028985508</v>
      </c>
      <c r="BY23" s="73">
        <f t="shared" si="66"/>
        <v>1.0579710144927534</v>
      </c>
      <c r="BZ23" s="73">
        <f t="shared" si="67"/>
        <v>1.0579710144927534</v>
      </c>
      <c r="CA23" s="73">
        <f t="shared" si="68"/>
        <v>1.0652173913043477</v>
      </c>
      <c r="CB23" s="73">
        <f t="shared" si="69"/>
        <v>0.78985507246376807</v>
      </c>
      <c r="CC23" s="73">
        <f t="shared" si="70"/>
        <v>1.0398550724637681</v>
      </c>
      <c r="CD23" s="73">
        <f t="shared" si="71"/>
        <v>1.0724637681159421</v>
      </c>
      <c r="CE23" s="73">
        <f t="shared" si="72"/>
        <v>1.0688405797101448</v>
      </c>
      <c r="CF23" s="73">
        <f t="shared" si="73"/>
        <v>1.0869565217391304</v>
      </c>
      <c r="CG23" s="73">
        <f t="shared" si="74"/>
        <v>1.0978260869565217</v>
      </c>
      <c r="CH23" s="73" t="str">
        <f t="shared" si="75"/>
        <v/>
      </c>
      <c r="CI23" s="73" t="str">
        <f t="shared" si="76"/>
        <v/>
      </c>
      <c r="CJ23" s="73" t="str">
        <f t="shared" si="77"/>
        <v/>
      </c>
      <c r="CK23" s="73" t="str">
        <f t="shared" si="78"/>
        <v/>
      </c>
      <c r="CL23" s="73" t="str">
        <f t="shared" si="79"/>
        <v/>
      </c>
      <c r="CM23" s="73" t="str">
        <f t="shared" si="80"/>
        <v/>
      </c>
      <c r="CN23" s="73" t="str">
        <f t="shared" si="81"/>
        <v/>
      </c>
      <c r="CO23" s="73" t="str">
        <f t="shared" si="82"/>
        <v/>
      </c>
      <c r="CP23" s="73" t="str">
        <f t="shared" si="83"/>
        <v/>
      </c>
      <c r="CQ23" s="73" t="str">
        <f t="shared" si="84"/>
        <v/>
      </c>
      <c r="CR23" s="73" t="str">
        <f t="shared" si="84"/>
        <v/>
      </c>
      <c r="CS23" s="73" t="str">
        <f t="shared" si="84"/>
        <v/>
      </c>
      <c r="CT23" s="73" t="str">
        <f t="shared" si="84"/>
        <v/>
      </c>
      <c r="CU23" s="73" t="str">
        <f t="shared" si="84"/>
        <v/>
      </c>
      <c r="CV23" s="73" t="str">
        <f t="shared" si="84"/>
        <v/>
      </c>
      <c r="CW23" s="3"/>
    </row>
    <row r="24" spans="1:101">
      <c r="A24" s="37">
        <v>1066026</v>
      </c>
      <c r="B24" s="1">
        <v>94</v>
      </c>
      <c r="C24" s="27" t="str">
        <f t="shared" si="45"/>
        <v>1066026-94</v>
      </c>
      <c r="D24" s="26" t="s">
        <v>20</v>
      </c>
      <c r="E24" s="34" t="s">
        <v>65</v>
      </c>
      <c r="F24" s="221">
        <v>42850</v>
      </c>
      <c r="G24" s="210" t="s">
        <v>68</v>
      </c>
      <c r="H24" s="83">
        <v>28.1</v>
      </c>
      <c r="I24" s="29">
        <v>42861</v>
      </c>
      <c r="J24" s="83">
        <v>28.7</v>
      </c>
      <c r="K24" s="36"/>
      <c r="L24" s="78">
        <v>28.6</v>
      </c>
      <c r="M24" s="83"/>
      <c r="N24" s="83">
        <v>28.7</v>
      </c>
      <c r="O24" s="83">
        <v>27.7</v>
      </c>
      <c r="P24" s="83">
        <v>27.5</v>
      </c>
      <c r="Q24" s="83">
        <v>27.6</v>
      </c>
      <c r="R24" s="83">
        <v>27</v>
      </c>
      <c r="S24" s="83">
        <v>27.4</v>
      </c>
      <c r="T24" s="83">
        <v>27.6</v>
      </c>
      <c r="U24" s="83">
        <v>29.9</v>
      </c>
      <c r="V24" s="83">
        <v>28.7</v>
      </c>
      <c r="W24" s="83">
        <v>30</v>
      </c>
      <c r="X24" s="83">
        <v>29.4</v>
      </c>
      <c r="Y24" s="83">
        <v>29.8</v>
      </c>
      <c r="Z24" s="83">
        <v>29.5</v>
      </c>
      <c r="AA24" s="83">
        <v>28</v>
      </c>
      <c r="AB24" s="83">
        <v>28.8</v>
      </c>
      <c r="AC24" s="83">
        <v>30.1</v>
      </c>
      <c r="AD24" s="83">
        <v>29.1</v>
      </c>
      <c r="AE24" s="83">
        <v>29.2</v>
      </c>
      <c r="AF24" s="83">
        <v>29.1</v>
      </c>
      <c r="AG24" s="83">
        <v>29.2</v>
      </c>
      <c r="AH24" s="83">
        <v>29.4</v>
      </c>
      <c r="AI24" s="83">
        <v>20.3</v>
      </c>
      <c r="AJ24" s="83">
        <v>28</v>
      </c>
      <c r="AK24" s="83">
        <v>28.8</v>
      </c>
      <c r="AL24" s="83">
        <v>28.9</v>
      </c>
      <c r="AM24" s="83">
        <v>29</v>
      </c>
      <c r="AN24" s="83">
        <v>29.4</v>
      </c>
      <c r="AO24" s="83">
        <v>29.9</v>
      </c>
      <c r="AP24" s="83">
        <v>29.9</v>
      </c>
      <c r="AQ24" s="83">
        <v>29.8</v>
      </c>
      <c r="AR24" s="83">
        <v>29.3</v>
      </c>
      <c r="AS24" s="83">
        <v>29.4</v>
      </c>
      <c r="AT24" s="83">
        <v>29.9</v>
      </c>
      <c r="AU24" s="83">
        <v>30.2</v>
      </c>
      <c r="AV24" s="83">
        <v>30.5</v>
      </c>
      <c r="AW24" s="83">
        <v>30.1</v>
      </c>
      <c r="AX24" s="83">
        <v>29.5</v>
      </c>
      <c r="AY24" s="83"/>
      <c r="AZ24" s="83"/>
      <c r="BA24" s="83"/>
      <c r="BB24" s="83"/>
      <c r="BC24" s="83"/>
      <c r="BD24" s="2"/>
      <c r="BE24" s="73">
        <f t="shared" si="46"/>
        <v>0.99651567944250874</v>
      </c>
      <c r="BF24" s="73" t="str">
        <f t="shared" si="47"/>
        <v/>
      </c>
      <c r="BG24" s="73">
        <f t="shared" si="48"/>
        <v>1</v>
      </c>
      <c r="BH24" s="73">
        <f t="shared" si="49"/>
        <v>0.96515679442508706</v>
      </c>
      <c r="BI24" s="73">
        <f t="shared" si="50"/>
        <v>0.95818815331010454</v>
      </c>
      <c r="BJ24" s="73">
        <f t="shared" si="51"/>
        <v>0.96167247386759591</v>
      </c>
      <c r="BK24" s="73">
        <f t="shared" si="52"/>
        <v>0.94076655052264813</v>
      </c>
      <c r="BL24" s="73">
        <f t="shared" si="53"/>
        <v>0.95470383275261317</v>
      </c>
      <c r="BM24" s="73">
        <f t="shared" si="54"/>
        <v>0.96167247386759591</v>
      </c>
      <c r="BN24" s="73">
        <f t="shared" si="55"/>
        <v>1.0418118466898953</v>
      </c>
      <c r="BO24" s="73">
        <f t="shared" si="56"/>
        <v>1</v>
      </c>
      <c r="BP24" s="73">
        <f t="shared" si="57"/>
        <v>1.0452961672473868</v>
      </c>
      <c r="BQ24" s="73">
        <f t="shared" si="58"/>
        <v>1.024390243902439</v>
      </c>
      <c r="BR24" s="73">
        <f t="shared" si="59"/>
        <v>1.0383275261324043</v>
      </c>
      <c r="BS24" s="73">
        <f t="shared" si="60"/>
        <v>1.0278745644599303</v>
      </c>
      <c r="BT24" s="73">
        <f t="shared" si="61"/>
        <v>0.97560975609756095</v>
      </c>
      <c r="BU24" s="73">
        <f t="shared" si="62"/>
        <v>1.0034843205574913</v>
      </c>
      <c r="BV24" s="73">
        <f t="shared" si="63"/>
        <v>1.0487804878048781</v>
      </c>
      <c r="BW24" s="73">
        <f t="shared" si="64"/>
        <v>1.0139372822299653</v>
      </c>
      <c r="BX24" s="73">
        <f t="shared" si="65"/>
        <v>1.0174216027874565</v>
      </c>
      <c r="BY24" s="73">
        <f t="shared" si="66"/>
        <v>1.0139372822299653</v>
      </c>
      <c r="BZ24" s="73">
        <f t="shared" si="67"/>
        <v>1.0174216027874565</v>
      </c>
      <c r="CA24" s="73">
        <f t="shared" si="68"/>
        <v>1.024390243902439</v>
      </c>
      <c r="CB24" s="73">
        <f t="shared" si="69"/>
        <v>0.70731707317073178</v>
      </c>
      <c r="CC24" s="73">
        <f t="shared" si="70"/>
        <v>0.97560975609756095</v>
      </c>
      <c r="CD24" s="73">
        <f t="shared" si="71"/>
        <v>1.0034843205574913</v>
      </c>
      <c r="CE24" s="73">
        <f t="shared" si="72"/>
        <v>1.0069686411149825</v>
      </c>
      <c r="CF24" s="73">
        <f t="shared" si="73"/>
        <v>1.0104529616724738</v>
      </c>
      <c r="CG24" s="73">
        <f t="shared" si="74"/>
        <v>1.024390243902439</v>
      </c>
      <c r="CH24" s="73">
        <f t="shared" si="75"/>
        <v>1.0418118466898953</v>
      </c>
      <c r="CI24" s="73">
        <f t="shared" si="76"/>
        <v>1.0418118466898953</v>
      </c>
      <c r="CJ24" s="73">
        <f t="shared" si="77"/>
        <v>1.0383275261324043</v>
      </c>
      <c r="CK24" s="73">
        <f t="shared" si="78"/>
        <v>1.0209059233449478</v>
      </c>
      <c r="CL24" s="73">
        <f t="shared" si="79"/>
        <v>1.024390243902439</v>
      </c>
      <c r="CM24" s="73">
        <f t="shared" si="80"/>
        <v>1.0418118466898953</v>
      </c>
      <c r="CN24" s="73">
        <f t="shared" si="81"/>
        <v>1.0522648083623694</v>
      </c>
      <c r="CO24" s="73">
        <f t="shared" si="82"/>
        <v>1.0627177700348431</v>
      </c>
      <c r="CP24" s="73">
        <f t="shared" si="83"/>
        <v>1.0487804878048781</v>
      </c>
      <c r="CQ24" s="73">
        <f t="shared" si="84"/>
        <v>1.0278745644599303</v>
      </c>
      <c r="CR24" s="73" t="str">
        <f t="shared" si="84"/>
        <v/>
      </c>
      <c r="CS24" s="73" t="str">
        <f t="shared" si="84"/>
        <v/>
      </c>
      <c r="CT24" s="73" t="str">
        <f t="shared" si="84"/>
        <v/>
      </c>
      <c r="CU24" s="73" t="str">
        <f t="shared" si="84"/>
        <v/>
      </c>
      <c r="CV24" s="73" t="str">
        <f t="shared" si="84"/>
        <v/>
      </c>
      <c r="CW24" s="3"/>
    </row>
    <row r="25" spans="1:101">
      <c r="A25" s="37">
        <v>1066026</v>
      </c>
      <c r="B25" s="1">
        <v>95</v>
      </c>
      <c r="C25" s="27" t="str">
        <f t="shared" si="45"/>
        <v>1066026-95</v>
      </c>
      <c r="D25" s="26" t="s">
        <v>20</v>
      </c>
      <c r="E25" s="34" t="s">
        <v>65</v>
      </c>
      <c r="F25" s="221">
        <v>42850</v>
      </c>
      <c r="G25" s="210" t="s">
        <v>68</v>
      </c>
      <c r="H25" s="83">
        <v>26.9</v>
      </c>
      <c r="I25" s="29">
        <v>42861</v>
      </c>
      <c r="J25" s="83">
        <v>26.8</v>
      </c>
      <c r="K25" s="36"/>
      <c r="L25" s="78">
        <v>27.5</v>
      </c>
      <c r="M25" s="83"/>
      <c r="N25" s="83">
        <v>26.8</v>
      </c>
      <c r="O25" s="83">
        <v>25.4</v>
      </c>
      <c r="P25" s="83">
        <v>26.1</v>
      </c>
      <c r="Q25" s="83">
        <v>26.7</v>
      </c>
      <c r="R25" s="83">
        <v>25.5</v>
      </c>
      <c r="S25" s="83">
        <v>25.8</v>
      </c>
      <c r="T25" s="83">
        <v>26</v>
      </c>
      <c r="U25" s="83">
        <v>27.6</v>
      </c>
      <c r="V25" s="83">
        <v>27.3</v>
      </c>
      <c r="W25" s="83">
        <v>28</v>
      </c>
      <c r="X25" s="83">
        <v>27.3</v>
      </c>
      <c r="Y25" s="83">
        <v>28</v>
      </c>
      <c r="Z25" s="83">
        <v>27.7</v>
      </c>
      <c r="AA25" s="83">
        <v>26.4</v>
      </c>
      <c r="AB25" s="83">
        <v>27.7</v>
      </c>
      <c r="AC25" s="83">
        <v>28.9</v>
      </c>
      <c r="AD25" s="83">
        <v>28.2</v>
      </c>
      <c r="AE25" s="83">
        <v>28.1</v>
      </c>
      <c r="AF25" s="83">
        <v>27.9</v>
      </c>
      <c r="AG25" s="83">
        <v>28.1</v>
      </c>
      <c r="AH25" s="83">
        <v>28.4</v>
      </c>
      <c r="AI25" s="83">
        <v>20.3</v>
      </c>
      <c r="AJ25" s="83">
        <v>27.8</v>
      </c>
      <c r="AK25" s="83">
        <v>28.5</v>
      </c>
      <c r="AL25" s="83">
        <v>28.7</v>
      </c>
      <c r="AM25" s="83">
        <v>28.6</v>
      </c>
      <c r="AN25" s="83">
        <v>28.8</v>
      </c>
      <c r="AO25" s="83">
        <v>29.3</v>
      </c>
      <c r="AP25" s="83">
        <v>29.4</v>
      </c>
      <c r="AQ25" s="83">
        <v>29.7</v>
      </c>
      <c r="AR25" s="83">
        <v>29</v>
      </c>
      <c r="AS25" s="83">
        <v>28.9</v>
      </c>
      <c r="AT25" s="83">
        <v>28.4</v>
      </c>
      <c r="AU25" s="83">
        <v>29.3</v>
      </c>
      <c r="AV25" s="83">
        <v>29.3</v>
      </c>
      <c r="AW25" s="83">
        <v>28.9</v>
      </c>
      <c r="AX25" s="83">
        <v>28.3</v>
      </c>
      <c r="AY25" s="83">
        <v>28.2</v>
      </c>
      <c r="AZ25" s="83">
        <v>28.8</v>
      </c>
      <c r="BA25" s="83">
        <v>28.4</v>
      </c>
      <c r="BB25" s="83">
        <v>29.3</v>
      </c>
      <c r="BC25" s="83">
        <v>29.8</v>
      </c>
      <c r="BD25" s="2"/>
      <c r="BE25" s="73">
        <f t="shared" si="46"/>
        <v>1.0261194029850746</v>
      </c>
      <c r="BF25" s="73" t="str">
        <f t="shared" si="47"/>
        <v/>
      </c>
      <c r="BG25" s="73">
        <f t="shared" si="48"/>
        <v>1</v>
      </c>
      <c r="BH25" s="73">
        <f t="shared" si="49"/>
        <v>0.94776119402985071</v>
      </c>
      <c r="BI25" s="73">
        <f t="shared" si="50"/>
        <v>0.97388059701492535</v>
      </c>
      <c r="BJ25" s="73">
        <f t="shared" si="51"/>
        <v>0.99626865671641784</v>
      </c>
      <c r="BK25" s="73">
        <f t="shared" si="52"/>
        <v>0.95149253731343286</v>
      </c>
      <c r="BL25" s="73">
        <f t="shared" si="53"/>
        <v>0.96268656716417911</v>
      </c>
      <c r="BM25" s="73">
        <f t="shared" si="54"/>
        <v>0.97014925373134331</v>
      </c>
      <c r="BN25" s="73">
        <f t="shared" si="55"/>
        <v>1.0298507462686568</v>
      </c>
      <c r="BO25" s="73">
        <f t="shared" si="56"/>
        <v>1.0186567164179106</v>
      </c>
      <c r="BP25" s="73">
        <f t="shared" si="57"/>
        <v>1.044776119402985</v>
      </c>
      <c r="BQ25" s="73">
        <f t="shared" si="58"/>
        <v>1.0186567164179106</v>
      </c>
      <c r="BR25" s="73">
        <f t="shared" si="59"/>
        <v>1.044776119402985</v>
      </c>
      <c r="BS25" s="73">
        <f t="shared" si="60"/>
        <v>1.0335820895522387</v>
      </c>
      <c r="BT25" s="73">
        <f t="shared" si="61"/>
        <v>0.9850746268656716</v>
      </c>
      <c r="BU25" s="73">
        <f t="shared" si="62"/>
        <v>1.0335820895522387</v>
      </c>
      <c r="BV25" s="73">
        <f t="shared" si="63"/>
        <v>1.0783582089552237</v>
      </c>
      <c r="BW25" s="73">
        <f t="shared" si="64"/>
        <v>1.0522388059701493</v>
      </c>
      <c r="BX25" s="73">
        <f t="shared" si="65"/>
        <v>1.0485074626865671</v>
      </c>
      <c r="BY25" s="73">
        <f t="shared" si="66"/>
        <v>1.0410447761194028</v>
      </c>
      <c r="BZ25" s="73">
        <f t="shared" si="67"/>
        <v>1.0485074626865671</v>
      </c>
      <c r="CA25" s="73">
        <f t="shared" si="68"/>
        <v>1.0597014925373134</v>
      </c>
      <c r="CB25" s="73">
        <f t="shared" si="69"/>
        <v>0.7574626865671642</v>
      </c>
      <c r="CC25" s="73">
        <f t="shared" si="70"/>
        <v>1.0373134328358209</v>
      </c>
      <c r="CD25" s="73">
        <f t="shared" si="71"/>
        <v>1.0634328358208955</v>
      </c>
      <c r="CE25" s="73">
        <f t="shared" si="72"/>
        <v>1.0708955223880596</v>
      </c>
      <c r="CF25" s="73">
        <f t="shared" si="73"/>
        <v>1.0671641791044777</v>
      </c>
      <c r="CG25" s="73">
        <f t="shared" si="74"/>
        <v>1.0746268656716418</v>
      </c>
      <c r="CH25" s="73">
        <f t="shared" si="75"/>
        <v>1.0932835820895523</v>
      </c>
      <c r="CI25" s="73">
        <f t="shared" si="76"/>
        <v>1.0970149253731343</v>
      </c>
      <c r="CJ25" s="73">
        <f t="shared" si="77"/>
        <v>1.1082089552238805</v>
      </c>
      <c r="CK25" s="73">
        <f t="shared" si="78"/>
        <v>1.0820895522388059</v>
      </c>
      <c r="CL25" s="73">
        <f t="shared" si="79"/>
        <v>1.0783582089552237</v>
      </c>
      <c r="CM25" s="73">
        <f t="shared" si="80"/>
        <v>1.0597014925373134</v>
      </c>
      <c r="CN25" s="73">
        <f t="shared" si="81"/>
        <v>1.0932835820895523</v>
      </c>
      <c r="CO25" s="73">
        <f t="shared" si="82"/>
        <v>1.0932835820895523</v>
      </c>
      <c r="CP25" s="73">
        <f t="shared" si="83"/>
        <v>1.0783582089552237</v>
      </c>
      <c r="CQ25" s="73">
        <f t="shared" si="84"/>
        <v>1.0559701492537314</v>
      </c>
      <c r="CR25" s="73">
        <f t="shared" si="84"/>
        <v>1.0522388059701493</v>
      </c>
      <c r="CS25" s="73">
        <f t="shared" si="84"/>
        <v>1.0746268656716418</v>
      </c>
      <c r="CT25" s="73">
        <f t="shared" si="84"/>
        <v>1.0597014925373134</v>
      </c>
      <c r="CU25" s="73">
        <f t="shared" si="84"/>
        <v>1.0932835820895523</v>
      </c>
      <c r="CV25" s="73">
        <f t="shared" si="84"/>
        <v>1.1119402985074627</v>
      </c>
      <c r="CW25" s="3"/>
    </row>
    <row r="26" spans="1:101">
      <c r="A26" s="37">
        <v>1066027</v>
      </c>
      <c r="B26" s="1">
        <v>101</v>
      </c>
      <c r="C26" s="27" t="str">
        <f t="shared" si="45"/>
        <v>1066027-101</v>
      </c>
      <c r="D26" s="26" t="s">
        <v>20</v>
      </c>
      <c r="E26" s="34" t="s">
        <v>73</v>
      </c>
      <c r="F26" s="221"/>
      <c r="G26" s="210" t="s">
        <v>68</v>
      </c>
      <c r="H26" s="83">
        <v>27.2</v>
      </c>
      <c r="I26" s="29">
        <v>42861</v>
      </c>
      <c r="J26" s="83">
        <v>27.8</v>
      </c>
      <c r="K26" s="36"/>
      <c r="L26" s="78">
        <v>28.3</v>
      </c>
      <c r="M26" s="83"/>
      <c r="N26" s="83">
        <v>27.8</v>
      </c>
      <c r="O26" s="83">
        <v>26.6</v>
      </c>
      <c r="P26" s="83">
        <v>27.1</v>
      </c>
      <c r="Q26" s="83">
        <v>28.4</v>
      </c>
      <c r="R26" s="83">
        <v>27.6</v>
      </c>
      <c r="S26" s="83">
        <v>28.2</v>
      </c>
      <c r="T26" s="83">
        <v>28.8</v>
      </c>
      <c r="U26" s="83">
        <v>29.9</v>
      </c>
      <c r="V26" s="83">
        <v>29.2</v>
      </c>
      <c r="W26" s="83">
        <v>30.7</v>
      </c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2"/>
      <c r="BE26" s="73">
        <f t="shared" si="46"/>
        <v>1.0179856115107915</v>
      </c>
      <c r="BF26" s="73" t="str">
        <f t="shared" si="47"/>
        <v/>
      </c>
      <c r="BG26" s="73">
        <f t="shared" si="48"/>
        <v>1</v>
      </c>
      <c r="BH26" s="73">
        <f t="shared" si="49"/>
        <v>0.95683453237410077</v>
      </c>
      <c r="BI26" s="73">
        <f t="shared" si="50"/>
        <v>0.97482014388489213</v>
      </c>
      <c r="BJ26" s="73">
        <f t="shared" si="51"/>
        <v>1.0215827338129495</v>
      </c>
      <c r="BK26" s="73">
        <f t="shared" si="52"/>
        <v>0.9928057553956835</v>
      </c>
      <c r="BL26" s="73">
        <f t="shared" si="53"/>
        <v>1.014388489208633</v>
      </c>
      <c r="BM26" s="73">
        <f t="shared" si="54"/>
        <v>1.0359712230215827</v>
      </c>
      <c r="BN26" s="73">
        <f t="shared" si="55"/>
        <v>1.0755395683453237</v>
      </c>
      <c r="BO26" s="73">
        <f t="shared" si="56"/>
        <v>1.0503597122302157</v>
      </c>
      <c r="BP26" s="73">
        <f t="shared" si="57"/>
        <v>1.1043165467625899</v>
      </c>
      <c r="BQ26" s="73" t="str">
        <f t="shared" si="58"/>
        <v/>
      </c>
      <c r="BR26" s="73" t="str">
        <f t="shared" si="59"/>
        <v/>
      </c>
      <c r="BS26" s="73" t="str">
        <f t="shared" si="60"/>
        <v/>
      </c>
      <c r="BT26" s="73" t="str">
        <f t="shared" si="61"/>
        <v/>
      </c>
      <c r="BU26" s="73" t="str">
        <f t="shared" si="62"/>
        <v/>
      </c>
      <c r="BV26" s="73" t="str">
        <f t="shared" si="63"/>
        <v/>
      </c>
      <c r="BW26" s="73" t="str">
        <f t="shared" si="64"/>
        <v/>
      </c>
      <c r="BX26" s="73" t="str">
        <f t="shared" si="65"/>
        <v/>
      </c>
      <c r="BY26" s="73" t="str">
        <f t="shared" si="66"/>
        <v/>
      </c>
      <c r="BZ26" s="73" t="str">
        <f t="shared" si="67"/>
        <v/>
      </c>
      <c r="CA26" s="73" t="str">
        <f t="shared" si="68"/>
        <v/>
      </c>
      <c r="CB26" s="73" t="str">
        <f t="shared" si="69"/>
        <v/>
      </c>
      <c r="CC26" s="73" t="str">
        <f t="shared" si="70"/>
        <v/>
      </c>
      <c r="CD26" s="73" t="str">
        <f t="shared" si="71"/>
        <v/>
      </c>
      <c r="CE26" s="73" t="str">
        <f t="shared" si="72"/>
        <v/>
      </c>
      <c r="CF26" s="73" t="str">
        <f t="shared" si="73"/>
        <v/>
      </c>
      <c r="CG26" s="73" t="str">
        <f t="shared" si="74"/>
        <v/>
      </c>
      <c r="CH26" s="73" t="str">
        <f t="shared" si="75"/>
        <v/>
      </c>
      <c r="CI26" s="73" t="str">
        <f t="shared" si="76"/>
        <v/>
      </c>
      <c r="CJ26" s="73" t="str">
        <f t="shared" si="77"/>
        <v/>
      </c>
      <c r="CK26" s="73" t="str">
        <f t="shared" si="78"/>
        <v/>
      </c>
      <c r="CL26" s="73" t="str">
        <f t="shared" si="79"/>
        <v/>
      </c>
      <c r="CM26" s="73" t="str">
        <f t="shared" si="80"/>
        <v/>
      </c>
      <c r="CN26" s="73" t="str">
        <f t="shared" si="81"/>
        <v/>
      </c>
      <c r="CO26" s="73" t="str">
        <f t="shared" si="82"/>
        <v/>
      </c>
      <c r="CP26" s="73" t="str">
        <f t="shared" si="83"/>
        <v/>
      </c>
      <c r="CQ26" s="73" t="str">
        <f t="shared" si="84"/>
        <v/>
      </c>
      <c r="CR26" s="73" t="str">
        <f t="shared" si="84"/>
        <v/>
      </c>
      <c r="CS26" s="73" t="str">
        <f t="shared" si="84"/>
        <v/>
      </c>
      <c r="CT26" s="73" t="str">
        <f t="shared" si="84"/>
        <v/>
      </c>
      <c r="CU26" s="73" t="str">
        <f t="shared" si="84"/>
        <v/>
      </c>
      <c r="CV26" s="73" t="str">
        <f t="shared" si="84"/>
        <v/>
      </c>
      <c r="CW26" s="3"/>
    </row>
    <row r="27" spans="1:101">
      <c r="A27" s="37">
        <v>1066027</v>
      </c>
      <c r="B27" s="1">
        <v>102</v>
      </c>
      <c r="C27" s="27" t="str">
        <f t="shared" si="45"/>
        <v>1066027-102</v>
      </c>
      <c r="D27" s="26" t="s">
        <v>20</v>
      </c>
      <c r="E27" s="34" t="s">
        <v>65</v>
      </c>
      <c r="F27" s="221">
        <v>42850</v>
      </c>
      <c r="G27" s="210" t="s">
        <v>68</v>
      </c>
      <c r="H27" s="83">
        <v>26</v>
      </c>
      <c r="I27" s="29">
        <v>42861</v>
      </c>
      <c r="J27" s="83">
        <v>25.3</v>
      </c>
      <c r="K27" s="36"/>
      <c r="L27" s="78">
        <v>24.8</v>
      </c>
      <c r="M27" s="83"/>
      <c r="N27" s="83">
        <v>25.3</v>
      </c>
      <c r="O27" s="83">
        <v>24.5</v>
      </c>
      <c r="P27" s="83">
        <v>25.5</v>
      </c>
      <c r="Q27" s="83">
        <v>26.2</v>
      </c>
      <c r="R27" s="83">
        <v>25.5</v>
      </c>
      <c r="S27" s="83">
        <v>25.8</v>
      </c>
      <c r="T27" s="83">
        <v>26.1</v>
      </c>
      <c r="U27" s="83">
        <v>26.8</v>
      </c>
      <c r="V27" s="83">
        <v>25.9</v>
      </c>
      <c r="W27" s="83">
        <v>27.3</v>
      </c>
      <c r="X27" s="83">
        <v>26.6</v>
      </c>
      <c r="Y27" s="83">
        <v>27.4</v>
      </c>
      <c r="Z27" s="83">
        <v>27</v>
      </c>
      <c r="AA27" s="83">
        <v>26.6</v>
      </c>
      <c r="AB27" s="83">
        <v>27</v>
      </c>
      <c r="AC27" s="83">
        <v>28</v>
      </c>
      <c r="AD27" s="83">
        <v>27.9</v>
      </c>
      <c r="AE27" s="83">
        <v>28.6</v>
      </c>
      <c r="AF27" s="83">
        <v>28.8</v>
      </c>
      <c r="AG27" s="83">
        <v>29</v>
      </c>
      <c r="AH27" s="83">
        <v>29.5</v>
      </c>
      <c r="AI27" s="83">
        <v>29.7</v>
      </c>
      <c r="AJ27" s="83">
        <v>30.4</v>
      </c>
      <c r="AK27" s="83">
        <v>30.2</v>
      </c>
      <c r="AL27" s="83">
        <v>30.4</v>
      </c>
      <c r="AM27" s="83">
        <v>30.4</v>
      </c>
      <c r="AN27" s="83">
        <v>30.7</v>
      </c>
      <c r="AO27" s="83">
        <v>31.2</v>
      </c>
      <c r="AP27" s="83">
        <v>31.1</v>
      </c>
      <c r="AQ27" s="83">
        <v>31.4</v>
      </c>
      <c r="AR27" s="83">
        <v>30.9</v>
      </c>
      <c r="AS27" s="83">
        <v>30.1</v>
      </c>
      <c r="AT27" s="83">
        <v>30.2</v>
      </c>
      <c r="AU27" s="83">
        <v>30.8</v>
      </c>
      <c r="AV27" s="83">
        <v>30.3</v>
      </c>
      <c r="AW27" s="83">
        <v>30.7</v>
      </c>
      <c r="AX27" s="83">
        <v>30.4</v>
      </c>
      <c r="AY27" s="83">
        <v>30.5</v>
      </c>
      <c r="AZ27" s="83">
        <v>31.1</v>
      </c>
      <c r="BA27" s="83">
        <v>30.7</v>
      </c>
      <c r="BB27" s="83">
        <v>30.7</v>
      </c>
      <c r="BC27" s="83">
        <v>30.9</v>
      </c>
      <c r="BD27" s="2"/>
      <c r="BE27" s="73">
        <f t="shared" si="46"/>
        <v>0.98023715415019763</v>
      </c>
      <c r="BF27" s="73" t="str">
        <f t="shared" si="47"/>
        <v/>
      </c>
      <c r="BG27" s="73">
        <f t="shared" si="48"/>
        <v>1</v>
      </c>
      <c r="BH27" s="73">
        <f t="shared" si="49"/>
        <v>0.96837944664031617</v>
      </c>
      <c r="BI27" s="73">
        <f t="shared" si="50"/>
        <v>1.0079051383399209</v>
      </c>
      <c r="BJ27" s="73">
        <f t="shared" si="51"/>
        <v>1.0355731225296443</v>
      </c>
      <c r="BK27" s="73">
        <f t="shared" si="52"/>
        <v>1.0079051383399209</v>
      </c>
      <c r="BL27" s="73">
        <f t="shared" si="53"/>
        <v>1.0197628458498025</v>
      </c>
      <c r="BM27" s="73">
        <f t="shared" si="54"/>
        <v>1.0316205533596838</v>
      </c>
      <c r="BN27" s="73">
        <f t="shared" si="55"/>
        <v>1.0592885375494072</v>
      </c>
      <c r="BO27" s="73">
        <f t="shared" si="56"/>
        <v>1.0237154150197627</v>
      </c>
      <c r="BP27" s="73">
        <f t="shared" si="57"/>
        <v>1.0790513833992095</v>
      </c>
      <c r="BQ27" s="73">
        <f t="shared" si="58"/>
        <v>1.0513833992094861</v>
      </c>
      <c r="BR27" s="73">
        <f t="shared" si="59"/>
        <v>1.0830039525691699</v>
      </c>
      <c r="BS27" s="73">
        <f t="shared" si="60"/>
        <v>1.0671936758893281</v>
      </c>
      <c r="BT27" s="73">
        <f t="shared" si="61"/>
        <v>1.0513833992094861</v>
      </c>
      <c r="BU27" s="73">
        <f t="shared" si="62"/>
        <v>1.0671936758893281</v>
      </c>
      <c r="BV27" s="73">
        <f t="shared" si="63"/>
        <v>1.1067193675889329</v>
      </c>
      <c r="BW27" s="73">
        <f t="shared" si="64"/>
        <v>1.1027667984189722</v>
      </c>
      <c r="BX27" s="73">
        <f t="shared" si="65"/>
        <v>1.1304347826086958</v>
      </c>
      <c r="BY27" s="73">
        <f t="shared" si="66"/>
        <v>1.1383399209486167</v>
      </c>
      <c r="BZ27" s="73">
        <f t="shared" si="67"/>
        <v>1.1462450592885376</v>
      </c>
      <c r="CA27" s="73">
        <f t="shared" si="68"/>
        <v>1.1660079051383399</v>
      </c>
      <c r="CB27" s="73">
        <f t="shared" si="69"/>
        <v>1.1739130434782608</v>
      </c>
      <c r="CC27" s="73">
        <f t="shared" si="70"/>
        <v>1.2015810276679841</v>
      </c>
      <c r="CD27" s="73">
        <f t="shared" si="71"/>
        <v>1.1936758893280632</v>
      </c>
      <c r="CE27" s="73">
        <f t="shared" si="72"/>
        <v>1.2015810276679841</v>
      </c>
      <c r="CF27" s="73">
        <f t="shared" si="73"/>
        <v>1.2015810276679841</v>
      </c>
      <c r="CG27" s="73">
        <f t="shared" si="74"/>
        <v>1.2134387351778655</v>
      </c>
      <c r="CH27" s="73">
        <f t="shared" si="75"/>
        <v>1.233201581027668</v>
      </c>
      <c r="CI27" s="73">
        <f t="shared" si="76"/>
        <v>1.2292490118577075</v>
      </c>
      <c r="CJ27" s="73">
        <f t="shared" si="77"/>
        <v>1.2411067193675889</v>
      </c>
      <c r="CK27" s="73">
        <f t="shared" si="78"/>
        <v>1.2213438735177864</v>
      </c>
      <c r="CL27" s="73">
        <f t="shared" si="79"/>
        <v>1.1897233201581028</v>
      </c>
      <c r="CM27" s="73">
        <f t="shared" si="80"/>
        <v>1.1936758893280632</v>
      </c>
      <c r="CN27" s="73">
        <f t="shared" si="81"/>
        <v>1.2173913043478262</v>
      </c>
      <c r="CO27" s="73">
        <f t="shared" si="82"/>
        <v>1.1976284584980237</v>
      </c>
      <c r="CP27" s="73">
        <f t="shared" si="83"/>
        <v>1.2134387351778655</v>
      </c>
      <c r="CQ27" s="73">
        <f t="shared" si="84"/>
        <v>1.2015810276679841</v>
      </c>
      <c r="CR27" s="73">
        <f t="shared" si="84"/>
        <v>1.2055335968379446</v>
      </c>
      <c r="CS27" s="73">
        <f t="shared" si="84"/>
        <v>1.2292490118577075</v>
      </c>
      <c r="CT27" s="73">
        <f t="shared" si="84"/>
        <v>1.2134387351778655</v>
      </c>
      <c r="CU27" s="73">
        <f t="shared" si="84"/>
        <v>1.2134387351778655</v>
      </c>
      <c r="CV27" s="73">
        <f t="shared" si="84"/>
        <v>1.2213438735177864</v>
      </c>
      <c r="CW27" s="3"/>
    </row>
    <row r="28" spans="1:101">
      <c r="A28" s="37">
        <v>1066027</v>
      </c>
      <c r="B28" s="1">
        <v>103</v>
      </c>
      <c r="C28" s="27" t="str">
        <f t="shared" si="45"/>
        <v>1066027-103</v>
      </c>
      <c r="D28" s="26" t="s">
        <v>20</v>
      </c>
      <c r="E28" s="34" t="s">
        <v>73</v>
      </c>
      <c r="F28" s="221">
        <v>42850</v>
      </c>
      <c r="G28" s="210" t="s">
        <v>68</v>
      </c>
      <c r="H28" s="83">
        <v>28.4</v>
      </c>
      <c r="I28" s="29">
        <v>42861</v>
      </c>
      <c r="J28" s="83">
        <v>27.8</v>
      </c>
      <c r="K28" s="36"/>
      <c r="L28" s="78">
        <v>28.1</v>
      </c>
      <c r="M28" s="83"/>
      <c r="N28" s="83">
        <v>27.8</v>
      </c>
      <c r="O28" s="83">
        <v>27.6</v>
      </c>
      <c r="P28" s="83">
        <v>28.7</v>
      </c>
      <c r="Q28" s="83">
        <v>28.9</v>
      </c>
      <c r="R28" s="83">
        <v>29.1</v>
      </c>
      <c r="S28" s="83">
        <v>29</v>
      </c>
      <c r="T28" s="83">
        <v>29.3</v>
      </c>
      <c r="U28" s="83">
        <v>30.5</v>
      </c>
      <c r="V28" s="83">
        <v>29.4</v>
      </c>
      <c r="W28" s="83">
        <v>30.9</v>
      </c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2"/>
      <c r="BE28" s="73">
        <f t="shared" si="46"/>
        <v>1.0107913669064748</v>
      </c>
      <c r="BF28" s="73" t="str">
        <f t="shared" si="47"/>
        <v/>
      </c>
      <c r="BG28" s="73">
        <f t="shared" si="48"/>
        <v>1</v>
      </c>
      <c r="BH28" s="73">
        <f t="shared" si="49"/>
        <v>0.9928057553956835</v>
      </c>
      <c r="BI28" s="73">
        <f t="shared" si="50"/>
        <v>1.0323741007194245</v>
      </c>
      <c r="BJ28" s="73">
        <f t="shared" si="51"/>
        <v>1.039568345323741</v>
      </c>
      <c r="BK28" s="73">
        <f t="shared" si="52"/>
        <v>1.0467625899280575</v>
      </c>
      <c r="BL28" s="73">
        <f t="shared" si="53"/>
        <v>1.0431654676258992</v>
      </c>
      <c r="BM28" s="73">
        <f t="shared" si="54"/>
        <v>1.0539568345323742</v>
      </c>
      <c r="BN28" s="73">
        <f t="shared" si="55"/>
        <v>1.0971223021582734</v>
      </c>
      <c r="BO28" s="73">
        <f t="shared" si="56"/>
        <v>1.0575539568345322</v>
      </c>
      <c r="BP28" s="73">
        <f t="shared" si="57"/>
        <v>1.1115107913669064</v>
      </c>
      <c r="BQ28" s="73" t="str">
        <f t="shared" si="58"/>
        <v/>
      </c>
      <c r="BR28" s="73" t="str">
        <f t="shared" si="59"/>
        <v/>
      </c>
      <c r="BS28" s="73" t="str">
        <f t="shared" si="60"/>
        <v/>
      </c>
      <c r="BT28" s="73" t="str">
        <f t="shared" si="61"/>
        <v/>
      </c>
      <c r="BU28" s="73" t="str">
        <f t="shared" si="62"/>
        <v/>
      </c>
      <c r="BV28" s="73" t="str">
        <f t="shared" si="63"/>
        <v/>
      </c>
      <c r="BW28" s="73" t="str">
        <f t="shared" si="64"/>
        <v/>
      </c>
      <c r="BX28" s="73" t="str">
        <f t="shared" si="65"/>
        <v/>
      </c>
      <c r="BY28" s="73" t="str">
        <f t="shared" si="66"/>
        <v/>
      </c>
      <c r="BZ28" s="73" t="str">
        <f t="shared" si="67"/>
        <v/>
      </c>
      <c r="CA28" s="73" t="str">
        <f t="shared" si="68"/>
        <v/>
      </c>
      <c r="CB28" s="73" t="str">
        <f t="shared" si="69"/>
        <v/>
      </c>
      <c r="CC28" s="73" t="str">
        <f t="shared" si="70"/>
        <v/>
      </c>
      <c r="CD28" s="73" t="str">
        <f t="shared" si="71"/>
        <v/>
      </c>
      <c r="CE28" s="73" t="str">
        <f t="shared" si="72"/>
        <v/>
      </c>
      <c r="CF28" s="73" t="str">
        <f t="shared" si="73"/>
        <v/>
      </c>
      <c r="CG28" s="73" t="str">
        <f t="shared" si="74"/>
        <v/>
      </c>
      <c r="CH28" s="73" t="str">
        <f t="shared" si="75"/>
        <v/>
      </c>
      <c r="CI28" s="73" t="str">
        <f t="shared" si="76"/>
        <v/>
      </c>
      <c r="CJ28" s="73" t="str">
        <f t="shared" si="77"/>
        <v/>
      </c>
      <c r="CK28" s="73" t="str">
        <f t="shared" si="78"/>
        <v/>
      </c>
      <c r="CL28" s="73" t="str">
        <f t="shared" si="79"/>
        <v/>
      </c>
      <c r="CM28" s="73" t="str">
        <f t="shared" si="80"/>
        <v/>
      </c>
      <c r="CN28" s="73" t="str">
        <f t="shared" si="81"/>
        <v/>
      </c>
      <c r="CO28" s="73" t="str">
        <f t="shared" si="82"/>
        <v/>
      </c>
      <c r="CP28" s="73" t="str">
        <f t="shared" si="83"/>
        <v/>
      </c>
      <c r="CQ28" s="73" t="str">
        <f t="shared" si="84"/>
        <v/>
      </c>
      <c r="CR28" s="73" t="str">
        <f t="shared" si="84"/>
        <v/>
      </c>
      <c r="CS28" s="73" t="str">
        <f t="shared" si="84"/>
        <v/>
      </c>
      <c r="CT28" s="73" t="str">
        <f t="shared" si="84"/>
        <v/>
      </c>
      <c r="CU28" s="73" t="str">
        <f t="shared" si="84"/>
        <v/>
      </c>
      <c r="CV28" s="73" t="str">
        <f t="shared" si="84"/>
        <v/>
      </c>
      <c r="CW28" s="3"/>
    </row>
    <row r="29" spans="1:101">
      <c r="A29" s="37">
        <v>1066027</v>
      </c>
      <c r="B29" s="1">
        <v>104</v>
      </c>
      <c r="C29" s="27" t="str">
        <f t="shared" si="45"/>
        <v>1066027-104</v>
      </c>
      <c r="D29" s="26" t="s">
        <v>20</v>
      </c>
      <c r="E29" s="34" t="s">
        <v>64</v>
      </c>
      <c r="F29" s="221">
        <v>42850</v>
      </c>
      <c r="G29" s="210" t="s">
        <v>68</v>
      </c>
      <c r="H29" s="83">
        <v>26.8</v>
      </c>
      <c r="I29" s="29">
        <v>42861</v>
      </c>
      <c r="J29" s="83">
        <v>29.5</v>
      </c>
      <c r="K29" s="36"/>
      <c r="L29" s="78">
        <v>28.4</v>
      </c>
      <c r="M29" s="83"/>
      <c r="N29" s="83">
        <v>29.5</v>
      </c>
      <c r="O29" s="83">
        <v>28.9</v>
      </c>
      <c r="P29" s="83">
        <v>29</v>
      </c>
      <c r="Q29" s="83">
        <v>29.5</v>
      </c>
      <c r="R29" s="83">
        <v>29.3</v>
      </c>
      <c r="S29" s="83">
        <v>28.9</v>
      </c>
      <c r="T29" s="83">
        <v>29.5</v>
      </c>
      <c r="U29" s="83">
        <v>31.4</v>
      </c>
      <c r="V29" s="83">
        <v>30.7</v>
      </c>
      <c r="W29" s="83">
        <v>31.3</v>
      </c>
      <c r="X29" s="83">
        <v>31.3</v>
      </c>
      <c r="Y29" s="83">
        <v>32.4</v>
      </c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2"/>
      <c r="BE29" s="73">
        <f t="shared" si="46"/>
        <v>0.96271186440677958</v>
      </c>
      <c r="BF29" s="73" t="str">
        <f t="shared" si="47"/>
        <v/>
      </c>
      <c r="BG29" s="73">
        <f t="shared" si="48"/>
        <v>1</v>
      </c>
      <c r="BH29" s="73">
        <f t="shared" si="49"/>
        <v>0.97966101694915253</v>
      </c>
      <c r="BI29" s="73">
        <f t="shared" si="50"/>
        <v>0.98305084745762716</v>
      </c>
      <c r="BJ29" s="73">
        <f t="shared" si="51"/>
        <v>1</v>
      </c>
      <c r="BK29" s="73">
        <f t="shared" si="52"/>
        <v>0.99322033898305084</v>
      </c>
      <c r="BL29" s="73">
        <f t="shared" si="53"/>
        <v>0.97966101694915253</v>
      </c>
      <c r="BM29" s="73">
        <f t="shared" si="54"/>
        <v>1</v>
      </c>
      <c r="BN29" s="73">
        <f t="shared" si="55"/>
        <v>1.0644067796610168</v>
      </c>
      <c r="BO29" s="73">
        <f t="shared" si="56"/>
        <v>1.0406779661016949</v>
      </c>
      <c r="BP29" s="73">
        <f t="shared" si="57"/>
        <v>1.0610169491525423</v>
      </c>
      <c r="BQ29" s="73">
        <f t="shared" si="58"/>
        <v>1.0610169491525423</v>
      </c>
      <c r="BR29" s="73">
        <f t="shared" si="59"/>
        <v>1.0983050847457627</v>
      </c>
      <c r="BS29" s="73" t="str">
        <f t="shared" si="60"/>
        <v/>
      </c>
      <c r="BT29" s="73" t="str">
        <f t="shared" si="61"/>
        <v/>
      </c>
      <c r="BU29" s="73" t="str">
        <f t="shared" si="62"/>
        <v/>
      </c>
      <c r="BV29" s="73" t="str">
        <f t="shared" si="63"/>
        <v/>
      </c>
      <c r="BW29" s="73" t="str">
        <f t="shared" si="64"/>
        <v/>
      </c>
      <c r="BX29" s="73" t="str">
        <f t="shared" si="65"/>
        <v/>
      </c>
      <c r="BY29" s="73" t="str">
        <f t="shared" si="66"/>
        <v/>
      </c>
      <c r="BZ29" s="73" t="str">
        <f t="shared" si="67"/>
        <v/>
      </c>
      <c r="CA29" s="73" t="str">
        <f t="shared" si="68"/>
        <v/>
      </c>
      <c r="CB29" s="73" t="str">
        <f t="shared" si="69"/>
        <v/>
      </c>
      <c r="CC29" s="73" t="str">
        <f t="shared" si="70"/>
        <v/>
      </c>
      <c r="CD29" s="73" t="str">
        <f t="shared" si="71"/>
        <v/>
      </c>
      <c r="CE29" s="73" t="str">
        <f t="shared" si="72"/>
        <v/>
      </c>
      <c r="CF29" s="73" t="str">
        <f t="shared" si="73"/>
        <v/>
      </c>
      <c r="CG29" s="73" t="str">
        <f t="shared" si="74"/>
        <v/>
      </c>
      <c r="CH29" s="73" t="str">
        <f t="shared" si="75"/>
        <v/>
      </c>
      <c r="CI29" s="73" t="str">
        <f t="shared" si="76"/>
        <v/>
      </c>
      <c r="CJ29" s="73" t="str">
        <f t="shared" si="77"/>
        <v/>
      </c>
      <c r="CK29" s="73" t="str">
        <f t="shared" si="78"/>
        <v/>
      </c>
      <c r="CL29" s="73" t="str">
        <f t="shared" si="79"/>
        <v/>
      </c>
      <c r="CM29" s="73" t="str">
        <f t="shared" si="80"/>
        <v/>
      </c>
      <c r="CN29" s="73" t="str">
        <f t="shared" si="81"/>
        <v/>
      </c>
      <c r="CO29" s="73" t="str">
        <f t="shared" si="82"/>
        <v/>
      </c>
      <c r="CP29" s="73" t="str">
        <f t="shared" si="83"/>
        <v/>
      </c>
      <c r="CQ29" s="73" t="str">
        <f t="shared" ref="CQ29:CV30" si="85">IF(OR(ISERROR(AX29/$J29)=TRUE,ISBLANK(AX29)=TRUE),"",AX29/$J29)</f>
        <v/>
      </c>
      <c r="CR29" s="73" t="str">
        <f t="shared" si="85"/>
        <v/>
      </c>
      <c r="CS29" s="73" t="str">
        <f t="shared" si="85"/>
        <v/>
      </c>
      <c r="CT29" s="73" t="str">
        <f t="shared" si="85"/>
        <v/>
      </c>
      <c r="CU29" s="73" t="str">
        <f t="shared" si="85"/>
        <v/>
      </c>
      <c r="CV29" s="73" t="str">
        <f t="shared" si="85"/>
        <v/>
      </c>
      <c r="CW29" s="3"/>
    </row>
    <row r="30" spans="1:101">
      <c r="A30" s="38">
        <v>1066027</v>
      </c>
      <c r="B30" s="4">
        <v>105</v>
      </c>
      <c r="C30" s="89" t="str">
        <f t="shared" si="45"/>
        <v>1066027-105</v>
      </c>
      <c r="D30" s="4" t="s">
        <v>20</v>
      </c>
      <c r="E30" s="34" t="s">
        <v>64</v>
      </c>
      <c r="F30" s="222">
        <v>42850</v>
      </c>
      <c r="G30" s="211" t="s">
        <v>68</v>
      </c>
      <c r="H30" s="84">
        <v>25.7</v>
      </c>
      <c r="I30" s="29">
        <v>42861</v>
      </c>
      <c r="J30" s="84">
        <v>27.2</v>
      </c>
      <c r="K30" s="42"/>
      <c r="L30" s="91">
        <v>26.4</v>
      </c>
      <c r="M30" s="84"/>
      <c r="N30" s="84">
        <v>27.2</v>
      </c>
      <c r="O30" s="84">
        <v>26.6</v>
      </c>
      <c r="P30" s="84">
        <v>27.2</v>
      </c>
      <c r="Q30" s="84">
        <v>26.1</v>
      </c>
      <c r="R30" s="84">
        <v>26.5</v>
      </c>
      <c r="S30" s="84">
        <v>26.2</v>
      </c>
      <c r="T30" s="84">
        <v>26.1</v>
      </c>
      <c r="U30" s="84">
        <v>27.6</v>
      </c>
      <c r="V30" s="84">
        <v>26.7</v>
      </c>
      <c r="W30" s="84">
        <v>27.5</v>
      </c>
      <c r="X30" s="84">
        <v>27</v>
      </c>
      <c r="Y30" s="84">
        <v>27.8</v>
      </c>
      <c r="Z30" s="84">
        <v>26.9</v>
      </c>
      <c r="AA30" s="84">
        <v>25.9</v>
      </c>
      <c r="AB30" s="84">
        <v>26.8</v>
      </c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5"/>
      <c r="BE30" s="73">
        <f t="shared" si="46"/>
        <v>0.97058823529411764</v>
      </c>
      <c r="BF30" s="73" t="str">
        <f t="shared" si="47"/>
        <v/>
      </c>
      <c r="BG30" s="73">
        <f t="shared" si="48"/>
        <v>1</v>
      </c>
      <c r="BH30" s="73">
        <f t="shared" si="49"/>
        <v>0.97794117647058831</v>
      </c>
      <c r="BI30" s="73">
        <f t="shared" si="50"/>
        <v>1</v>
      </c>
      <c r="BJ30" s="73">
        <f t="shared" si="51"/>
        <v>0.9595588235294118</v>
      </c>
      <c r="BK30" s="73">
        <f t="shared" si="52"/>
        <v>0.97426470588235292</v>
      </c>
      <c r="BL30" s="73">
        <f t="shared" si="53"/>
        <v>0.96323529411764708</v>
      </c>
      <c r="BM30" s="73">
        <f t="shared" si="54"/>
        <v>0.9595588235294118</v>
      </c>
      <c r="BN30" s="73">
        <f t="shared" si="55"/>
        <v>1.0147058823529413</v>
      </c>
      <c r="BO30" s="73">
        <f t="shared" si="56"/>
        <v>0.98161764705882348</v>
      </c>
      <c r="BP30" s="73">
        <f t="shared" si="57"/>
        <v>1.0110294117647058</v>
      </c>
      <c r="BQ30" s="73">
        <f t="shared" si="58"/>
        <v>0.99264705882352944</v>
      </c>
      <c r="BR30" s="73">
        <f t="shared" si="59"/>
        <v>1.0220588235294119</v>
      </c>
      <c r="BS30" s="73">
        <f t="shared" si="60"/>
        <v>0.98897058823529405</v>
      </c>
      <c r="BT30" s="73">
        <f t="shared" si="61"/>
        <v>0.95220588235294112</v>
      </c>
      <c r="BU30" s="73">
        <f t="shared" si="62"/>
        <v>0.98529411764705888</v>
      </c>
      <c r="BV30" s="73" t="str">
        <f t="shared" si="63"/>
        <v/>
      </c>
      <c r="BW30" s="73" t="str">
        <f t="shared" si="64"/>
        <v/>
      </c>
      <c r="BX30" s="73" t="str">
        <f t="shared" si="65"/>
        <v/>
      </c>
      <c r="BY30" s="73" t="str">
        <f t="shared" si="66"/>
        <v/>
      </c>
      <c r="BZ30" s="73" t="str">
        <f t="shared" si="67"/>
        <v/>
      </c>
      <c r="CA30" s="73" t="str">
        <f t="shared" si="68"/>
        <v/>
      </c>
      <c r="CB30" s="73" t="str">
        <f t="shared" si="69"/>
        <v/>
      </c>
      <c r="CC30" s="73" t="str">
        <f t="shared" si="70"/>
        <v/>
      </c>
      <c r="CD30" s="73" t="str">
        <f t="shared" si="71"/>
        <v/>
      </c>
      <c r="CE30" s="73" t="str">
        <f t="shared" si="72"/>
        <v/>
      </c>
      <c r="CF30" s="73" t="str">
        <f t="shared" si="73"/>
        <v/>
      </c>
      <c r="CG30" s="73" t="str">
        <f t="shared" si="74"/>
        <v/>
      </c>
      <c r="CH30" s="73" t="str">
        <f t="shared" si="75"/>
        <v/>
      </c>
      <c r="CI30" s="73" t="str">
        <f t="shared" si="76"/>
        <v/>
      </c>
      <c r="CJ30" s="73" t="str">
        <f t="shared" si="77"/>
        <v/>
      </c>
      <c r="CK30" s="73" t="str">
        <f t="shared" si="78"/>
        <v/>
      </c>
      <c r="CL30" s="73" t="str">
        <f t="shared" si="79"/>
        <v/>
      </c>
      <c r="CM30" s="73" t="str">
        <f t="shared" si="80"/>
        <v/>
      </c>
      <c r="CN30" s="73" t="str">
        <f t="shared" si="81"/>
        <v/>
      </c>
      <c r="CO30" s="73" t="str">
        <f t="shared" si="82"/>
        <v/>
      </c>
      <c r="CP30" s="73" t="str">
        <f t="shared" si="83"/>
        <v/>
      </c>
      <c r="CQ30" s="73" t="str">
        <f t="shared" si="85"/>
        <v/>
      </c>
      <c r="CR30" s="73" t="str">
        <f t="shared" si="85"/>
        <v/>
      </c>
      <c r="CS30" s="73" t="str">
        <f t="shared" si="85"/>
        <v/>
      </c>
      <c r="CT30" s="73" t="str">
        <f t="shared" si="85"/>
        <v/>
      </c>
      <c r="CU30" s="73" t="str">
        <f t="shared" si="85"/>
        <v/>
      </c>
      <c r="CV30" s="73" t="str">
        <f t="shared" si="85"/>
        <v/>
      </c>
      <c r="CW30" s="3"/>
    </row>
    <row r="31" spans="1:101" s="88" customFormat="1">
      <c r="A31" s="108"/>
      <c r="B31" s="90"/>
      <c r="C31" s="109"/>
      <c r="D31" s="90"/>
      <c r="E31" s="100"/>
      <c r="F31" s="110"/>
      <c r="G31" s="212"/>
      <c r="H31" s="99"/>
      <c r="I31" s="110"/>
      <c r="J31" s="99"/>
      <c r="K31" s="90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</row>
    <row r="32" spans="1:101" ht="14.25" customHeight="1">
      <c r="A32" s="85"/>
      <c r="B32" s="85"/>
      <c r="C32" s="85"/>
      <c r="D32" s="45"/>
      <c r="E32" s="94" t="s">
        <v>16</v>
      </c>
      <c r="F32" s="86"/>
      <c r="G32" s="213"/>
      <c r="H32" s="82"/>
      <c r="I32" s="252" t="s">
        <v>16</v>
      </c>
      <c r="J32" s="82">
        <f>AVERAGE(J5:J30)</f>
        <v>28.057692307692303</v>
      </c>
      <c r="K32" s="72" t="s">
        <v>9</v>
      </c>
      <c r="L32" s="78">
        <f>AVERAGE(L5:L30)</f>
        <v>27.61538461538461</v>
      </c>
      <c r="M32" s="78" t="e">
        <f>AVERAGE(M5:M30)</f>
        <v>#DIV/0!</v>
      </c>
      <c r="N32" s="78">
        <f>AVERAGE(N5:N30)</f>
        <v>28.057692307692303</v>
      </c>
      <c r="O32" s="78">
        <f>AVERAGE(O5:O30)</f>
        <v>27.284615384615389</v>
      </c>
      <c r="P32" s="78">
        <f>AVERAGE(P5:P30)</f>
        <v>27.62307692307693</v>
      </c>
      <c r="Q32" s="78">
        <f>AVERAGE(Q5:Q30)</f>
        <v>27.900000000000009</v>
      </c>
      <c r="R32" s="78">
        <f>AVERAGE(R5:R30)</f>
        <v>27.67307692307692</v>
      </c>
      <c r="S32" s="78">
        <f>AVERAGE(S5:S30)</f>
        <v>27.657692307692304</v>
      </c>
      <c r="T32" s="78">
        <f>AVERAGE(T5:T30)</f>
        <v>27.607692307692307</v>
      </c>
      <c r="U32" s="78">
        <f>AVERAGE(U5:U30)</f>
        <v>29.15384615384615</v>
      </c>
      <c r="V32" s="78">
        <f>AVERAGE(V5:V30)</f>
        <v>28.242307692307694</v>
      </c>
      <c r="W32" s="78">
        <f>AVERAGE(W5:W30)</f>
        <v>29.465384615384615</v>
      </c>
      <c r="X32" s="78">
        <f>AVERAGE(X5:X30)</f>
        <v>28.654166666666665</v>
      </c>
      <c r="Y32" s="78">
        <f>AVERAGE(Y5:Y30)</f>
        <v>29.299999999999994</v>
      </c>
      <c r="Z32" s="78">
        <f>AVERAGE(Z5:Z30)</f>
        <v>28.704347826086959</v>
      </c>
      <c r="AA32" s="78">
        <f>AVERAGE(AA5:AA30)</f>
        <v>26.747826086956518</v>
      </c>
      <c r="AB32" s="78">
        <f>AVERAGE(AB5:AB30)</f>
        <v>28.195454545454542</v>
      </c>
      <c r="AC32" s="78">
        <f>AVERAGE(AC5:AC30)</f>
        <v>29.176190476190477</v>
      </c>
      <c r="AD32" s="78">
        <f>AVERAGE(AD5:AD30)</f>
        <v>28.568421052631578</v>
      </c>
      <c r="AE32" s="78">
        <f>AVERAGE(AE5:AE30)</f>
        <v>27.600000000000005</v>
      </c>
      <c r="AF32" s="78">
        <f>AVERAGE(AF5:AF30)</f>
        <v>28.552941176470586</v>
      </c>
      <c r="AG32" s="78">
        <f>AVERAGE(AG5:AG30)</f>
        <v>29.193749999999998</v>
      </c>
      <c r="AH32" s="78">
        <f>AVERAGE(AH5:AH30)</f>
        <v>29.43333333333333</v>
      </c>
      <c r="AI32" s="78">
        <f>AVERAGE(AI5:AI30)</f>
        <v>27.657142857142862</v>
      </c>
      <c r="AJ32" s="78">
        <f>AVERAGE(AJ5:AJ30)</f>
        <v>29.892857142857142</v>
      </c>
      <c r="AK32" s="78">
        <f>AVERAGE(AK5:AK30)</f>
        <v>29.650000000000006</v>
      </c>
      <c r="AL32" s="78">
        <f>AVERAGE(AL5:AL30)</f>
        <v>29.921428571428571</v>
      </c>
      <c r="AM32" s="78">
        <f>AVERAGE(AM5:AM30)</f>
        <v>30.228571428571428</v>
      </c>
      <c r="AN32" s="78">
        <f>AVERAGE(AN5:AN30)</f>
        <v>30.184615384615384</v>
      </c>
      <c r="AO32" s="78">
        <f>AVERAGE(AO5:AO30)</f>
        <v>30.727272727272723</v>
      </c>
      <c r="AP32" s="78">
        <f>AVERAGE(AP5:AP30)</f>
        <v>30.8</v>
      </c>
      <c r="AQ32" s="78">
        <f>AVERAGE(AQ5:AQ30)</f>
        <v>30.845454545454547</v>
      </c>
      <c r="AR32" s="78">
        <f>AVERAGE(AR5:AR30)</f>
        <v>30.110000000000003</v>
      </c>
      <c r="AS32" s="78">
        <f>AVERAGE(AS5:AS30)</f>
        <v>29.211111111111116</v>
      </c>
      <c r="AT32" s="78">
        <f>AVERAGE(AT5:AT30)</f>
        <v>29.244444444444444</v>
      </c>
      <c r="AU32" s="78">
        <f>AVERAGE(AU5:AU30)</f>
        <v>29.866666666666667</v>
      </c>
      <c r="AV32" s="78">
        <f>AVERAGE(AV5:AV30)</f>
        <v>30.011111111111113</v>
      </c>
      <c r="AW32" s="78">
        <f>AVERAGE(AW5:AW30)</f>
        <v>29.65</v>
      </c>
      <c r="AX32" s="78">
        <f>AVERAGE(AX5:AX30)</f>
        <v>29.275000000000006</v>
      </c>
      <c r="AY32" s="78">
        <f>AVERAGE(AY5:AY30)</f>
        <v>29.471428571428568</v>
      </c>
      <c r="AZ32" s="78">
        <f>AVERAGE(AZ5:AZ30)</f>
        <v>29.599999999999998</v>
      </c>
      <c r="BA32" s="78">
        <f>AVERAGE(BA5:BA30)</f>
        <v>29.900000000000002</v>
      </c>
      <c r="BB32" s="78">
        <f>AVERAGE(BB5:BB30)</f>
        <v>30.399999999999995</v>
      </c>
      <c r="BC32" s="78">
        <f>AVERAGE(BC5:BC30)</f>
        <v>30.533333333333335</v>
      </c>
      <c r="BD32" s="101" t="s">
        <v>9</v>
      </c>
      <c r="BE32" s="73">
        <f>AVERAGE(BE5:BE30)</f>
        <v>0.98437487441859683</v>
      </c>
      <c r="BF32" s="73" t="e">
        <f>AVERAGE(BF5:BF30)</f>
        <v>#DIV/0!</v>
      </c>
      <c r="BG32" s="73">
        <f>AVERAGE(BG5:BG30)</f>
        <v>1</v>
      </c>
      <c r="BH32" s="73">
        <f>AVERAGE(BH5:BH30)</f>
        <v>0.97231882866462804</v>
      </c>
      <c r="BI32" s="73">
        <f>AVERAGE(BI5:BI30)</f>
        <v>0.98379243523884152</v>
      </c>
      <c r="BJ32" s="73">
        <f>AVERAGE(BJ5:BJ30)</f>
        <v>0.99431345652349801</v>
      </c>
      <c r="BK32" s="73">
        <f>AVERAGE(BK5:BK30)</f>
        <v>0.98646026908023643</v>
      </c>
      <c r="BL32" s="73">
        <f>AVERAGE(BL5:BL30)</f>
        <v>0.98589545323050176</v>
      </c>
      <c r="BM32" s="73">
        <f>AVERAGE(BM5:BM30)</f>
        <v>0.98421551902147264</v>
      </c>
      <c r="BN32" s="73">
        <f>AVERAGE(BN5:BN30)</f>
        <v>1.0391518473866657</v>
      </c>
      <c r="BO32" s="73">
        <f>AVERAGE(BO5:BO30)</f>
        <v>1.0066331886829063</v>
      </c>
      <c r="BP32" s="73">
        <f>AVERAGE(BP5:BP30)</f>
        <v>1.0503320467309907</v>
      </c>
      <c r="BQ32" s="73">
        <f>AVERAGE(BQ5:BQ30)</f>
        <v>1.0205184012103528</v>
      </c>
      <c r="BR32" s="73">
        <f>AVERAGE(BR5:BR30)</f>
        <v>1.0436174861469414</v>
      </c>
      <c r="BS32" s="73">
        <f>AVERAGE(BS5:BS30)</f>
        <v>1.0248412306904318</v>
      </c>
      <c r="BT32" s="73">
        <f>AVERAGE(BT5:BT30)</f>
        <v>0.95501611979193868</v>
      </c>
      <c r="BU32" s="73">
        <f>AVERAGE(BU5:BU30)</f>
        <v>1.0079120668138442</v>
      </c>
      <c r="BV32" s="73">
        <f>AVERAGE(BV5:BV30)</f>
        <v>1.0415017280258299</v>
      </c>
      <c r="BW32" s="73">
        <f>AVERAGE(BW5:BW30)</f>
        <v>1.0226257092883537</v>
      </c>
      <c r="BX32" s="73">
        <f>AVERAGE(BX5:BX30)</f>
        <v>0.99393382828585475</v>
      </c>
      <c r="BY32" s="73">
        <f>AVERAGE(BY5:BY30)</f>
        <v>1.0273367377906333</v>
      </c>
      <c r="BZ32" s="73">
        <f>AVERAGE(BZ5:BZ30)</f>
        <v>1.0496240744176666</v>
      </c>
      <c r="CA32" s="73">
        <f>AVERAGE(CA5:CA30)</f>
        <v>1.0595388355729769</v>
      </c>
      <c r="CB32" s="73">
        <f>AVERAGE(CB5:CB30)</f>
        <v>0.98778767061214856</v>
      </c>
      <c r="CC32" s="73">
        <f>AVERAGE(CC5:CC30)</f>
        <v>1.06663924746802</v>
      </c>
      <c r="CD32" s="73">
        <f>AVERAGE(CD5:CD30)</f>
        <v>1.0569742589438889</v>
      </c>
      <c r="CE32" s="73">
        <f>AVERAGE(CE5:CE30)</f>
        <v>1.0671266137072106</v>
      </c>
      <c r="CF32" s="73">
        <f>AVERAGE(CF5:CF30)</f>
        <v>1.078188410579074</v>
      </c>
      <c r="CG32" s="73">
        <f>AVERAGE(CG5:CG30)</f>
        <v>1.084670852095333</v>
      </c>
      <c r="CH32" s="73">
        <f>AVERAGE(CH5:CH30)</f>
        <v>1.1103368423727984</v>
      </c>
      <c r="CI32" s="73">
        <f>AVERAGE(CI5:CI30)</f>
        <v>1.1125989652822652</v>
      </c>
      <c r="CJ32" s="73">
        <f>AVERAGE(CJ5:CJ30)</f>
        <v>1.113368976884282</v>
      </c>
      <c r="CK32" s="73">
        <f>AVERAGE(CK5:CK30)</f>
        <v>1.0870900704671016</v>
      </c>
      <c r="CL32" s="73">
        <f>AVERAGE(CL5:CL30)</f>
        <v>1.07116454102045</v>
      </c>
      <c r="CM32" s="73">
        <f>AVERAGE(CM5:CM30)</f>
        <v>1.0728265231087415</v>
      </c>
      <c r="CN32" s="73">
        <f>AVERAGE(CN5:CN30)</f>
        <v>1.0966964800838586</v>
      </c>
      <c r="CO32" s="73">
        <f>AVERAGE(CO5:CO30)</f>
        <v>1.1019782594497476</v>
      </c>
      <c r="CP32" s="73">
        <f>AVERAGE(CP5:CP30)</f>
        <v>1.0839773010551539</v>
      </c>
      <c r="CQ32" s="73">
        <f>AVERAGE(CQ5:CQ30)</f>
        <v>1.0722714621628997</v>
      </c>
      <c r="CR32" s="73">
        <f>AVERAGE(CR5:CR30)</f>
        <v>1.0872117944102759</v>
      </c>
      <c r="CS32" s="73">
        <f>AVERAGE(CS5:CS30)</f>
        <v>1.0916609360805274</v>
      </c>
      <c r="CT32" s="73">
        <f>AVERAGE(CT5:CT30)</f>
        <v>1.0838499130255865</v>
      </c>
      <c r="CU32" s="73">
        <f>AVERAGE(CU5:CU30)</f>
        <v>1.1012451583839284</v>
      </c>
      <c r="CV32" s="73">
        <f>AVERAGE(CV5:CV30)</f>
        <v>1.1061621314734669</v>
      </c>
      <c r="CW32" s="3"/>
    </row>
    <row r="33" spans="1:101" ht="14.25" customHeight="1">
      <c r="A33" s="46"/>
      <c r="B33" s="45"/>
      <c r="C33" s="47"/>
      <c r="D33" s="45"/>
      <c r="E33" s="92"/>
      <c r="F33" s="71"/>
      <c r="G33" s="213"/>
      <c r="H33" s="82"/>
      <c r="I33" s="252"/>
      <c r="J33" s="82">
        <f>_xlfn.STDEV.P(J5:J30)</f>
        <v>1.7269744724234823</v>
      </c>
      <c r="K33" s="72" t="s">
        <v>11</v>
      </c>
      <c r="L33" s="81">
        <f>STDEVA(L5:L30)</f>
        <v>1.7622014204266905</v>
      </c>
      <c r="M33" s="81" t="e">
        <f>STDEVA(M5:M30)</f>
        <v>#DIV/0!</v>
      </c>
      <c r="N33" s="81">
        <f>STDEVA(N5:N30)</f>
        <v>1.7611753068727882</v>
      </c>
      <c r="O33" s="81">
        <f>STDEVA(O5:O30)</f>
        <v>1.8431912125858907</v>
      </c>
      <c r="P33" s="81">
        <f>STDEVA(P5:P30)</f>
        <v>2.133036838370626</v>
      </c>
      <c r="Q33" s="81">
        <f>STDEVA(Q5:Q30)</f>
        <v>1.8988417522268677</v>
      </c>
      <c r="R33" s="81">
        <f>STDEVA(R5:R30)</f>
        <v>1.7849499023351196</v>
      </c>
      <c r="S33" s="81">
        <f>STDEVA(S5:S30)</f>
        <v>1.7684282460813787</v>
      </c>
      <c r="T33" s="81">
        <f>STDEVA(T5:T30)</f>
        <v>1.7547474067621418</v>
      </c>
      <c r="U33" s="81">
        <f>STDEVA(U5:U30)</f>
        <v>1.9385006101068463</v>
      </c>
      <c r="V33" s="81">
        <f>STDEVA(V5:V30)</f>
        <v>1.8868329182888619</v>
      </c>
      <c r="W33" s="81">
        <f>STDEVA(W5:W30)</f>
        <v>1.9253970619469238</v>
      </c>
      <c r="X33" s="81">
        <f>STDEVA(X5:X30)</f>
        <v>2.0177428557385748</v>
      </c>
      <c r="Y33" s="81">
        <f>STDEVA(Y5:Y30)</f>
        <v>2.022482331840922</v>
      </c>
      <c r="Z33" s="81">
        <f>STDEVA(Z5:Z30)</f>
        <v>1.90393808648132</v>
      </c>
      <c r="AA33" s="81">
        <f>STDEVA(AA5:AA30)</f>
        <v>1.9553817495725139</v>
      </c>
      <c r="AB33" s="81">
        <f>STDEVA(AB5:AB30)</f>
        <v>1.767019894443554</v>
      </c>
      <c r="AC33" s="81">
        <f>STDEVA(AC5:AC30)</f>
        <v>1.9992260407229496</v>
      </c>
      <c r="AD33" s="81">
        <f>STDEVA(AD5:AD30)</f>
        <v>2.050488459849654</v>
      </c>
      <c r="AE33" s="81">
        <f>STDEVA(AE5:AE30)</f>
        <v>3.686062780736266</v>
      </c>
      <c r="AF33" s="81">
        <f>STDEVA(AF5:AF30)</f>
        <v>2.1442124565498473</v>
      </c>
      <c r="AG33" s="81">
        <f>STDEVA(AG5:AG30)</f>
        <v>2.9006823909786017</v>
      </c>
      <c r="AH33" s="81">
        <f>STDEVA(AH5:AH30)</f>
        <v>2.8321285954123594</v>
      </c>
      <c r="AI33" s="81">
        <f>STDEVA(AI5:AI30)</f>
        <v>4.7940210014806173</v>
      </c>
      <c r="AJ33" s="81">
        <f>STDEVA(AJ5:AJ30)</f>
        <v>2.5101223646894764</v>
      </c>
      <c r="AK33" s="81">
        <f>STDEVA(AK5:AK30)</f>
        <v>2.898474399775484</v>
      </c>
      <c r="AL33" s="81">
        <f>STDEVA(AL5:AL30)</f>
        <v>2.6930619037783772</v>
      </c>
      <c r="AM33" s="81">
        <f>STDEVA(AM5:AM30)</f>
        <v>2.6356807824190671</v>
      </c>
      <c r="AN33" s="81">
        <f>STDEVA(AN5:AN30)</f>
        <v>2.1736475311658943</v>
      </c>
      <c r="AO33" s="81">
        <f>STDEVA(AO5:AO30)</f>
        <v>2.0645052235782355</v>
      </c>
      <c r="AP33" s="81">
        <f>STDEVA(AP5:AP30)</f>
        <v>2.2275547131327653</v>
      </c>
      <c r="AQ33" s="81">
        <f>STDEVA(AQ5:AQ30)</f>
        <v>2.7735766210305552</v>
      </c>
      <c r="AR33" s="81">
        <f>STDEVA(AR5:AR30)</f>
        <v>2.8473964716327562</v>
      </c>
      <c r="AS33" s="81">
        <f>STDEVA(AS5:AS30)</f>
        <v>2.4209731743889908</v>
      </c>
      <c r="AT33" s="81">
        <f>STDEVA(AT5:AT30)</f>
        <v>2.1812330865310514</v>
      </c>
      <c r="AU33" s="81">
        <f>STDEVA(AU5:AU30)</f>
        <v>1.5724185193516393</v>
      </c>
      <c r="AV33" s="81">
        <f>STDEVA(AV5:AV30)</f>
        <v>1.3896442390450552</v>
      </c>
      <c r="AW33" s="81">
        <f>STDEVA(AW5:AW30)</f>
        <v>1.7912485669419054</v>
      </c>
      <c r="AX33" s="81">
        <f>STDEVA(AX5:AX30)</f>
        <v>0.98234413521942499</v>
      </c>
      <c r="AY33" s="81">
        <f>STDEVA(AY5:AY30)</f>
        <v>1.0719363875937875</v>
      </c>
      <c r="AZ33" s="81">
        <f>STDEVA(AZ5:AZ30)</f>
        <v>1.3391539617733785</v>
      </c>
      <c r="BA33" s="81">
        <f>STDEVA(BA5:BA30)</f>
        <v>0.9208691546577078</v>
      </c>
      <c r="BB33" s="81">
        <f>STDEVA(BB5:BB30)</f>
        <v>0.85088189544730586</v>
      </c>
      <c r="BC33" s="81">
        <f>STDEVA(BC5:BC30)</f>
        <v>0.82865352631040368</v>
      </c>
      <c r="BD33" s="102" t="s">
        <v>11</v>
      </c>
      <c r="BE33" s="74">
        <f>STDEVA(BE5:BE30)</f>
        <v>1.9238673371552932E-2</v>
      </c>
      <c r="BF33" s="74">
        <f>STDEVA(BF5:BF30)</f>
        <v>0</v>
      </c>
      <c r="BG33" s="74">
        <f>STDEVA(BG5:BG30)</f>
        <v>0</v>
      </c>
      <c r="BH33" s="74">
        <f>STDEVA(BH5:BH30)</f>
        <v>1.8288253082404032E-2</v>
      </c>
      <c r="BI33" s="74">
        <f>STDEVA(BI5:BI30)</f>
        <v>2.6990111875441723E-2</v>
      </c>
      <c r="BJ33" s="74">
        <f>STDEVA(BJ5:BJ30)</f>
        <v>2.4215150963631953E-2</v>
      </c>
      <c r="BK33" s="74">
        <f>STDEVA(BK5:BK30)</f>
        <v>2.4413815757514036E-2</v>
      </c>
      <c r="BL33" s="74">
        <f>STDEVA(BL5:BL30)</f>
        <v>2.210808678635804E-2</v>
      </c>
      <c r="BM33" s="74">
        <f>STDEVA(BM5:BM30)</f>
        <v>2.5907096415526614E-2</v>
      </c>
      <c r="BN33" s="74">
        <f>STDEVA(BN5:BN30)</f>
        <v>2.5466019387117067E-2</v>
      </c>
      <c r="BO33" s="74">
        <f>STDEVA(BO5:BO30)</f>
        <v>2.5644153334066409E-2</v>
      </c>
      <c r="BP33" s="74">
        <f>STDEVA(BP5:BP30)</f>
        <v>2.6928542319106068E-2</v>
      </c>
      <c r="BQ33" s="74">
        <f>STDEVA(BQ5:BQ30)</f>
        <v>0.27851995044823874</v>
      </c>
      <c r="BR33" s="74">
        <f>STDEVA(BR5:BR30)</f>
        <v>0.28485281747628255</v>
      </c>
      <c r="BS33" s="74">
        <f>STDEVA(BS5:BS30)</f>
        <v>0.33482137874980344</v>
      </c>
      <c r="BT33" s="74">
        <f>STDEVA(BT5:BT30)</f>
        <v>0.31366882783361805</v>
      </c>
      <c r="BU33" s="74">
        <f>STDEVA(BU5:BU30)</f>
        <v>0.37163893066525766</v>
      </c>
      <c r="BV33" s="74">
        <f>STDEVA(BV5:BV30)</f>
        <v>0.41957792777886455</v>
      </c>
      <c r="BW33" s="74">
        <f>STDEVA(BW5:BW30)</f>
        <v>0.46321444142142054</v>
      </c>
      <c r="BX33" s="74">
        <f>STDEVA(BX5:BX30)</f>
        <v>0.48036014697342272</v>
      </c>
      <c r="BY33" s="74">
        <f>STDEVA(BY5:BY30)</f>
        <v>0.49973635378013193</v>
      </c>
      <c r="BZ33" s="74">
        <f>STDEVA(BZ5:BZ30)</f>
        <v>0.52255635089764341</v>
      </c>
      <c r="CA33" s="74">
        <f>STDEVA(CA5:CA30)</f>
        <v>0.53550597398411037</v>
      </c>
      <c r="CB33" s="74">
        <f>STDEVA(CB5:CB30)</f>
        <v>0.51531063766374496</v>
      </c>
      <c r="CC33" s="74">
        <f>STDEVA(CC5:CC30)</f>
        <v>0.54371249910018882</v>
      </c>
      <c r="CD33" s="74">
        <f>STDEVA(CD5:CD30)</f>
        <v>0.53940001891198885</v>
      </c>
      <c r="CE33" s="74">
        <f>STDEVA(CE5:CE30)</f>
        <v>0.54414781154041747</v>
      </c>
      <c r="CF33" s="74">
        <f>STDEVA(CF5:CF30)</f>
        <v>0.54952647880939332</v>
      </c>
      <c r="CG33" s="74">
        <f>STDEVA(CG5:CG30)</f>
        <v>0.55422180027545231</v>
      </c>
      <c r="CH33" s="74">
        <f>STDEVA(CH5:CH30)</f>
        <v>0.56041151093962427</v>
      </c>
      <c r="CI33" s="74">
        <f>STDEVA(CI5:CI30)</f>
        <v>0.56157863803922248</v>
      </c>
      <c r="CJ33" s="74">
        <f>STDEVA(CJ5:CJ30)</f>
        <v>0.5625585414916171</v>
      </c>
      <c r="CK33" s="74">
        <f>STDEVA(CK5:CK30)</f>
        <v>0.54087754736554727</v>
      </c>
      <c r="CL33" s="74">
        <f>STDEVA(CL5:CL30)</f>
        <v>0.52123667233245341</v>
      </c>
      <c r="CM33" s="74">
        <f>STDEVA(CM5:CM30)</f>
        <v>0.52183913928767467</v>
      </c>
      <c r="CN33" s="74">
        <f>STDEVA(CN5:CN30)</f>
        <v>0.53306911309234595</v>
      </c>
      <c r="CO33" s="74">
        <f>STDEVA(CO5:CO30)</f>
        <v>0.53536569770999343</v>
      </c>
      <c r="CP33" s="74">
        <f>STDEVA(CP5:CP30)</f>
        <v>0.51138037140039372</v>
      </c>
      <c r="CQ33" s="74">
        <f>STDEVA(CQ5:CQ30)</f>
        <v>0.50633528208909973</v>
      </c>
      <c r="CR33" s="74">
        <f>STDEVA(CR5:CR30)</f>
        <v>0.49350020470940698</v>
      </c>
      <c r="CS33" s="74">
        <f>STDEVA(CS5:CS30)</f>
        <v>0.49556388114053218</v>
      </c>
      <c r="CT33" s="74">
        <f>STDEVA(CT5:CT30)</f>
        <v>0.4669678348405702</v>
      </c>
      <c r="CU33" s="74">
        <f>STDEVA(CU5:CU30)</f>
        <v>0.4739996127759632</v>
      </c>
      <c r="CV33" s="74">
        <f>STDEVA(CV5:CV30)</f>
        <v>0.47615417534089316</v>
      </c>
      <c r="CW33" s="3"/>
    </row>
    <row r="34" spans="1:101" ht="12.75" customHeight="1">
      <c r="A34" s="113"/>
      <c r="E34" s="93"/>
      <c r="K34" s="45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0"/>
    </row>
    <row r="35" spans="1:101" ht="14.25" customHeight="1">
      <c r="A35" s="113"/>
      <c r="E35" s="118" t="str">
        <f>'FIG6 Groups'!C6</f>
        <v>AsPc-1 - Control</v>
      </c>
      <c r="I35" s="118" t="str">
        <f>E35</f>
        <v>AsPc-1 - Control</v>
      </c>
      <c r="J35" s="227">
        <f>AVERAGEIF($E$5:$E$30,$E35,J$5:J$30)</f>
        <v>27.871428571428574</v>
      </c>
      <c r="K35" s="72" t="s">
        <v>9</v>
      </c>
      <c r="L35" s="78">
        <f>AVERAGEIF($E$5:$E$30,$E35,L$5:L$30)</f>
        <v>27.142857142857139</v>
      </c>
      <c r="M35" s="78" t="e">
        <f>AVERAGEIF($E$5:$E$30,$E35,M$5:M$30)</f>
        <v>#DIV/0!</v>
      </c>
      <c r="N35" s="78">
        <f>AVERAGEIF($E$5:$E$30,$E35,N$5:N$30)</f>
        <v>27.871428571428574</v>
      </c>
      <c r="O35" s="78">
        <f>AVERAGEIF($E$5:$E$30,$E35,O$5:O$30)</f>
        <v>27.057142857142857</v>
      </c>
      <c r="P35" s="78">
        <f>AVERAGEIF($E$5:$E$30,$E35,P$5:P$30)</f>
        <v>27.214285714285715</v>
      </c>
      <c r="Q35" s="78">
        <f>AVERAGEIF($E$5:$E$30,$E35,Q$5:Q$30)</f>
        <v>27.62857142857143</v>
      </c>
      <c r="R35" s="78">
        <f>AVERAGEIF($E$5:$E$30,$E35,R$5:R$30)</f>
        <v>27.557142857142857</v>
      </c>
      <c r="S35" s="78">
        <f>AVERAGEIF($E$5:$E$30,$E35,S$5:S$30)</f>
        <v>27.271428571428569</v>
      </c>
      <c r="T35" s="78">
        <f>AVERAGEIF($E$5:$E$30,$E35,T$5:T$30)</f>
        <v>27.085714285714285</v>
      </c>
      <c r="U35" s="78">
        <f>AVERAGEIF($E$5:$E$30,$E35,U$5:U$30)</f>
        <v>28.528571428571432</v>
      </c>
      <c r="V35" s="78">
        <f>AVERAGEIF($E$5:$E$30,$E35,V$5:V$30)</f>
        <v>27.785714285714281</v>
      </c>
      <c r="W35" s="78">
        <f>AVERAGEIF($E$5:$E$30,$E35,W$5:W$30)</f>
        <v>28.87142857142857</v>
      </c>
      <c r="X35" s="78">
        <f>AVERAGEIF($E$5:$E$30,$E35,X$5:X$30)</f>
        <v>28.085714285714282</v>
      </c>
      <c r="Y35" s="78">
        <f>AVERAGEIF($E$5:$E$30,$E35,Y$5:Y$30)</f>
        <v>28.5</v>
      </c>
      <c r="Z35" s="78">
        <f>AVERAGEIF($E$5:$E$30,$E35,Z$5:Z$30)</f>
        <v>28.157142857142855</v>
      </c>
      <c r="AA35" s="78">
        <f>AVERAGEIF($E$5:$E$30,$E35,AA$5:AA$30)</f>
        <v>26.614285714285717</v>
      </c>
      <c r="AB35" s="78">
        <f>AVERAGEIF($E$5:$E$30,$E35,AB$5:AB$30)</f>
        <v>27.942857142857143</v>
      </c>
      <c r="AC35" s="78">
        <f>AVERAGEIF($E$5:$E$30,$E35,AC$5:AC$30)</f>
        <v>28.514285714285716</v>
      </c>
      <c r="AD35" s="78">
        <f>AVERAGEIF($E$5:$E$30,$E35,AD$5:AD$30)</f>
        <v>28.057142857142857</v>
      </c>
      <c r="AE35" s="78">
        <f>AVERAGEIF($E$5:$E$30,$E35,AE$5:AE$30)</f>
        <v>26.849999999999998</v>
      </c>
      <c r="AF35" s="78">
        <f>AVERAGEIF($E$5:$E$30,$E35,AF$5:AF$30)</f>
        <v>27.52</v>
      </c>
      <c r="AG35" s="78">
        <f>AVERAGEIF($E$5:$E$30,$E35,AG$5:AG$30)</f>
        <v>28.45</v>
      </c>
      <c r="AH35" s="78">
        <f>AVERAGEIF($E$5:$E$30,$E35,AH$5:AH$30)</f>
        <v>28.333333333333332</v>
      </c>
      <c r="AI35" s="78">
        <f>AVERAGEIF($E$5:$E$30,$E35,AI$5:AI$30)</f>
        <v>29.85</v>
      </c>
      <c r="AJ35" s="78">
        <f>AVERAGEIF($E$5:$E$30,$E35,AJ$5:AJ$30)</f>
        <v>30.2</v>
      </c>
      <c r="AK35" s="78">
        <f>AVERAGEIF($E$5:$E$30,$E35,AK$5:AK$30)</f>
        <v>30.05</v>
      </c>
      <c r="AL35" s="78">
        <f>AVERAGEIF($E$5:$E$30,$E35,AL$5:AL$30)</f>
        <v>30.200000000000003</v>
      </c>
      <c r="AM35" s="78">
        <f>AVERAGEIF($E$5:$E$30,$E35,AM$5:AM$30)</f>
        <v>29.95</v>
      </c>
      <c r="AN35" s="78">
        <f>AVERAGEIF($E$5:$E$30,$E35,AN$5:AN$30)</f>
        <v>30.35</v>
      </c>
      <c r="AO35" s="78">
        <f>AVERAGEIF($E$5:$E$30,$E35,AO$5:AO$30)</f>
        <v>30.95</v>
      </c>
      <c r="AP35" s="78">
        <f>AVERAGEIF($E$5:$E$30,$E35,AP$5:AP$30)</f>
        <v>31.299999999999997</v>
      </c>
      <c r="AQ35" s="78">
        <f>AVERAGEIF($E$5:$E$30,$E35,AQ$5:AQ$30)</f>
        <v>31.7</v>
      </c>
      <c r="AR35" s="78">
        <f>AVERAGEIF($E$5:$E$30,$E35,AR$5:AR$30)</f>
        <v>30.8</v>
      </c>
      <c r="AS35" s="78">
        <f>AVERAGEIF($E$5:$E$30,$E35,AS$5:AS$30)</f>
        <v>30.9</v>
      </c>
      <c r="AT35" s="78">
        <f>AVERAGEIF($E$5:$E$30,$E35,AT$5:AT$30)</f>
        <v>30.7</v>
      </c>
      <c r="AU35" s="78">
        <f>AVERAGEIF($E$5:$E$30,$E35,AU$5:AU$30)</f>
        <v>31.2</v>
      </c>
      <c r="AV35" s="78">
        <f>AVERAGEIF($E$5:$E$30,$E35,AV$5:AV$30)</f>
        <v>30.9</v>
      </c>
      <c r="AW35" s="78">
        <f>AVERAGEIF($E$5:$E$30,$E35,AW$5:AW$30)</f>
        <v>29.3</v>
      </c>
      <c r="AX35" s="78">
        <f>AVERAGEIF($E$5:$E$30,$E35,AX$5:AX$30)</f>
        <v>28.9</v>
      </c>
      <c r="AY35" s="78">
        <f>AVERAGEIF($E$5:$E$30,$E35,AY$5:AY$30)</f>
        <v>29.5</v>
      </c>
      <c r="AZ35" s="78">
        <f>AVERAGEIF($E$5:$E$30,$E35,AZ$5:AZ$30)</f>
        <v>30.3</v>
      </c>
      <c r="BA35" s="78">
        <f>AVERAGEIF($E$5:$E$30,$E35,BA$5:BA$30)</f>
        <v>29.8</v>
      </c>
      <c r="BB35" s="78">
        <f>AVERAGEIF($E$5:$E$30,$E35,BB$5:BB$30)</f>
        <v>30.4</v>
      </c>
      <c r="BC35" s="78">
        <f>AVERAGEIF($E$5:$E$30,$E35,BC$5:BC$30)</f>
        <v>30.8</v>
      </c>
      <c r="BD35" s="103" t="s">
        <v>9</v>
      </c>
      <c r="BE35" s="73">
        <f>AVERAGEIF($E$5:$E$30,$E35,BE$5:BE$30)</f>
        <v>0.97438775861537319</v>
      </c>
      <c r="BF35" s="73" t="e">
        <f>AVERAGEIF($E$5:$E$30,$E35,BF$5:BF$30)</f>
        <v>#DIV/0!</v>
      </c>
      <c r="BG35" s="73">
        <f>AVERAGEIF($E$5:$E$30,$E35,BG$5:BG$30)</f>
        <v>1</v>
      </c>
      <c r="BH35" s="73">
        <f>AVERAGEIF($E$5:$E$30,$E35,BH$5:BH$30)</f>
        <v>0.97078227423318075</v>
      </c>
      <c r="BI35" s="73">
        <f>AVERAGEIF($E$5:$E$30,$E35,BI$5:BI$30)</f>
        <v>0.97484801889646433</v>
      </c>
      <c r="BJ35" s="73">
        <f>AVERAGEIF($E$5:$E$30,$E35,BJ$5:BJ$30)</f>
        <v>0.99130469427638446</v>
      </c>
      <c r="BK35" s="73">
        <f>AVERAGEIF($E$5:$E$30,$E35,BK$5:BK$30)</f>
        <v>0.9890115229289369</v>
      </c>
      <c r="BL35" s="73">
        <f>AVERAGEIF($E$5:$E$30,$E35,BL$5:BL$30)</f>
        <v>0.97818896292964663</v>
      </c>
      <c r="BM35" s="73">
        <f>AVERAGEIF($E$5:$E$30,$E35,BM$5:BM$30)</f>
        <v>0.97162894203972516</v>
      </c>
      <c r="BN35" s="73">
        <f>AVERAGEIF($E$5:$E$30,$E35,BN$5:BN$30)</f>
        <v>1.0238688134791067</v>
      </c>
      <c r="BO35" s="73">
        <f>AVERAGEIF($E$5:$E$30,$E35,BO$5:BO$30)</f>
        <v>0.99740423937907308</v>
      </c>
      <c r="BP35" s="73">
        <f>AVERAGEIF($E$5:$E$30,$E35,BP$5:BP$30)</f>
        <v>1.0362774207198127</v>
      </c>
      <c r="BQ35" s="73">
        <f>AVERAGEIF($E$5:$E$30,$E35,BQ$5:BQ$30)</f>
        <v>1.0085224613102892</v>
      </c>
      <c r="BR35" s="73">
        <f>AVERAGEIF($E$5:$E$30,$E35,BR$5:BR$30)</f>
        <v>1.0230361826936749</v>
      </c>
      <c r="BS35" s="73">
        <f>AVERAGEIF($E$5:$E$30,$E35,BS$5:BS$30)</f>
        <v>1.0105306203842885</v>
      </c>
      <c r="BT35" s="73">
        <f>AVERAGEIF($E$5:$E$30,$E35,BT$5:BT$30)</f>
        <v>0.95431525949890972</v>
      </c>
      <c r="BU35" s="73">
        <f>AVERAGEIF($E$5:$E$30,$E35,BU$5:BU$30)</f>
        <v>1.0027682474570152</v>
      </c>
      <c r="BV35" s="73">
        <f>AVERAGEIF($E$5:$E$30,$E35,BV$5:BV$30)</f>
        <v>1.0240052911516409</v>
      </c>
      <c r="BW35" s="73">
        <f>AVERAGEIF($E$5:$E$30,$E35,BW$5:BW$30)</f>
        <v>1.0071466346265971</v>
      </c>
      <c r="BX35" s="73">
        <f>AVERAGEIF($E$5:$E$30,$E35,BX$5:BX$30)</f>
        <v>0.97479237194290469</v>
      </c>
      <c r="BY35" s="73">
        <f>AVERAGEIF($E$5:$E$30,$E35,BY$5:BY$30)</f>
        <v>1.005534538772753</v>
      </c>
      <c r="BZ35" s="73">
        <f>AVERAGEIF($E$5:$E$30,$E35,BZ$5:BZ$30)</f>
        <v>1.0469641645589924</v>
      </c>
      <c r="CA35" s="73">
        <f>AVERAGEIF($E$5:$E$30,$E35,CA$5:CA$30)</f>
        <v>1.0554004583331951</v>
      </c>
      <c r="CB35" s="73">
        <f>AVERAGEIF($E$5:$E$30,$E35,CB$5:CB$30)</f>
        <v>1.0556304956035172</v>
      </c>
      <c r="CC35" s="73">
        <f>AVERAGEIF($E$5:$E$30,$E35,CC$5:CC$30)</f>
        <v>1.0673461231015189</v>
      </c>
      <c r="CD35" s="73">
        <f>AVERAGEIF($E$5:$E$30,$E35,CD$5:CD$30)</f>
        <v>1.0621377897681854</v>
      </c>
      <c r="CE35" s="73">
        <f>AVERAGEIF($E$5:$E$30,$E35,CE$5:CE$30)</f>
        <v>1.0674085731414866</v>
      </c>
      <c r="CF35" s="73">
        <f>AVERAGEIF($E$5:$E$30,$E35,CF$5:CF$30)</f>
        <v>1.0584782174260592</v>
      </c>
      <c r="CG35" s="73">
        <f>AVERAGEIF($E$5:$E$30,$E35,CG$5:CG$30)</f>
        <v>1.0728667066346924</v>
      </c>
      <c r="CH35" s="73">
        <f>AVERAGEIF($E$5:$E$30,$E35,CH$5:CH$30)</f>
        <v>1.094324540367706</v>
      </c>
      <c r="CI35" s="73">
        <f>AVERAGEIF($E$5:$E$30,$E35,CI$5:CI$30)</f>
        <v>1.1067271183053555</v>
      </c>
      <c r="CJ35" s="73">
        <f>AVERAGEIF($E$5:$E$30,$E35,CJ$5:CJ$30)</f>
        <v>1.1209282573940846</v>
      </c>
      <c r="CK35" s="73">
        <f>AVERAGEIF($E$5:$E$30,$E35,CK$5:CK$30)</f>
        <v>1.0694444444444444</v>
      </c>
      <c r="CL35" s="73">
        <f>AVERAGEIF($E$5:$E$30,$E35,CL$5:CL$30)</f>
        <v>1.0729166666666665</v>
      </c>
      <c r="CM35" s="73">
        <f>AVERAGEIF($E$5:$E$30,$E35,CM$5:CM$30)</f>
        <v>1.0659722222222221</v>
      </c>
      <c r="CN35" s="73">
        <f>AVERAGEIF($E$5:$E$30,$E35,CN$5:CN$30)</f>
        <v>1.0833333333333333</v>
      </c>
      <c r="CO35" s="73">
        <f>AVERAGEIF($E$5:$E$30,$E35,CO$5:CO$30)</f>
        <v>1.0729166666666665</v>
      </c>
      <c r="CP35" s="73">
        <f>AVERAGEIF($E$5:$E$30,$E35,CP$5:CP$30)</f>
        <v>1.0173611111111112</v>
      </c>
      <c r="CQ35" s="73">
        <f>AVERAGEIF($E$5:$E$30,$E35,CQ$5:CQ$30)</f>
        <v>1.0034722222222221</v>
      </c>
      <c r="CR35" s="73">
        <f>AVERAGEIF($E$5:$E$30,$E35,CR$5:CR$30)</f>
        <v>1.0243055555555556</v>
      </c>
      <c r="CS35" s="73">
        <f>AVERAGEIF($E$5:$E$30,$E35,CS$5:CS$30)</f>
        <v>1.0520833333333333</v>
      </c>
      <c r="CT35" s="73">
        <f>AVERAGEIF($E$5:$E$30,$E35,CT$5:CT$30)</f>
        <v>1.0347222222222223</v>
      </c>
      <c r="CU35" s="73">
        <f>AVERAGEIF($E$5:$E$30,$E35,CU$5:CU$30)</f>
        <v>1.0555555555555556</v>
      </c>
      <c r="CV35" s="73">
        <f>AVERAGEIF($E$5:$E$30,$E35,CV$5:CV$30)</f>
        <v>1.0694444444444444</v>
      </c>
      <c r="CW35" s="76"/>
    </row>
    <row r="36" spans="1:101" ht="14.25" customHeight="1">
      <c r="A36" s="113"/>
      <c r="E36" s="93"/>
      <c r="I36" s="93"/>
      <c r="J36" s="227">
        <f t="array" ref="J36">_xlfn.STDEV.P(IF($E$5:$E$30=$E35,J$5:J$30))</f>
        <v>1.631576175459341</v>
      </c>
      <c r="K36" s="72" t="s">
        <v>11</v>
      </c>
      <c r="L36" s="81">
        <f t="array" ref="L36">_xlfn.STDEV.P(IF($E$5:$E$30=$E35,L$5:L$30))</f>
        <v>1.3834296335630545</v>
      </c>
      <c r="M36" s="81">
        <f t="array" ref="M36">_xlfn.STDEV.P(IF($E$5:$E$30=$E35,M$5:M$30))</f>
        <v>0</v>
      </c>
      <c r="N36" s="81">
        <f t="array" ref="N36">_xlfn.STDEV.P(IF($E$5:$E$30=$E35,N$5:N$30))</f>
        <v>1.631576175459341</v>
      </c>
      <c r="O36" s="81">
        <f t="array" ref="O36">_xlfn.STDEV.P(IF($E$5:$E$30=$E35,O$5:O$30))</f>
        <v>1.6447814816713433</v>
      </c>
      <c r="P36" s="81">
        <f t="array" ref="P36">_xlfn.STDEV.P(IF($E$5:$E$30=$E35,P$5:P$30))</f>
        <v>2.3222086601389833</v>
      </c>
      <c r="Q36" s="81">
        <f t="array" ref="Q36">_xlfn.STDEV.P(IF($E$5:$E$30=$E35,Q$5:Q$30))</f>
        <v>1.6798930966958974</v>
      </c>
      <c r="R36" s="81">
        <f t="array" ref="R36">_xlfn.STDEV.P(IF($E$5:$E$30=$E35,R$5:R$30))</f>
        <v>1.5646607508677797</v>
      </c>
      <c r="S36" s="81">
        <f t="array" ref="S36">_xlfn.STDEV.P(IF($E$5:$E$30=$E35,S$5:S$30))</f>
        <v>1.7693536234732619</v>
      </c>
      <c r="T36" s="81">
        <f t="array" ref="T36">_xlfn.STDEV.P(IF($E$5:$E$30=$E35,T$5:T$30))</f>
        <v>1.7488188433736573</v>
      </c>
      <c r="U36" s="81">
        <f t="array" ref="U36">_xlfn.STDEV.P(IF($E$5:$E$30=$E35,U$5:U$30))</f>
        <v>1.6236768553539969</v>
      </c>
      <c r="V36" s="81">
        <f t="array" ref="V36">_xlfn.STDEV.P(IF($E$5:$E$30=$E35,V$5:V$30))</f>
        <v>1.4913355198120446</v>
      </c>
      <c r="W36" s="81">
        <f t="array" ref="W36">_xlfn.STDEV.P(IF($E$5:$E$30=$E35,W$5:W$30))</f>
        <v>1.5745423695376983</v>
      </c>
      <c r="X36" s="81">
        <f t="array" ref="X36">_xlfn.STDEV.P(IF($E$5:$E$30=$E35,X$5:X$30))</f>
        <v>1.3912261513074107</v>
      </c>
      <c r="Y36" s="81">
        <f t="array" ref="Y36">_xlfn.STDEV.P(IF($E$5:$E$30=$E35,Y$5:Y$30))</f>
        <v>1.549193338482967</v>
      </c>
      <c r="Z36" s="81">
        <f t="array" ref="Z36">_xlfn.STDEV.P(IF($E$5:$E$30=$E35,Z$5:Z$30))</f>
        <v>1.6069999936502293</v>
      </c>
      <c r="AA36" s="81">
        <f t="array" ref="AA36">_xlfn.STDEV.P(IF($E$5:$E$30=$E35,AA$5:AA$30))</f>
        <v>2.0265583572920378</v>
      </c>
      <c r="AB36" s="81">
        <f t="array" ref="AB36">_xlfn.STDEV.P(IF($E$5:$E$30=$E35,AB$5:AB$30))</f>
        <v>1.6421737709138919</v>
      </c>
      <c r="AC36" s="81">
        <f t="array" ref="AC36">_xlfn.STDEV.P(IF($E$5:$E$30=$E35,AC$5:AC$30))</f>
        <v>1.4206925589087787</v>
      </c>
      <c r="AD36" s="81">
        <f t="array" ref="AD36">_xlfn.STDEV.P(IF($E$5:$E$30=$E35,AD$5:AD$30))</f>
        <v>1.5098317246417543</v>
      </c>
      <c r="AE36" s="81">
        <f t="array" ref="AE36">_xlfn.STDEV.P(IF($E$5:$E$30=$E35,AE$5:AE$30))</f>
        <v>10.000061224302373</v>
      </c>
      <c r="AF36" s="81">
        <f t="array" ref="AF36">_xlfn.STDEV.P(IF($E$5:$E$30=$E35,AF$5:AF$30))</f>
        <v>12.504725637346313</v>
      </c>
      <c r="AG36" s="81">
        <f t="array" ref="AG36">_xlfn.STDEV.P(IF($E$5:$E$30=$E35,AG$5:AG$30))</f>
        <v>14.131106229354662</v>
      </c>
      <c r="AH36" s="81">
        <f t="array" ref="AH36">_xlfn.STDEV.P(IF($E$5:$E$30=$E35,AH$5:AH$30))</f>
        <v>14.052946528128858</v>
      </c>
      <c r="AI36" s="81">
        <f t="array" ref="AI36">_xlfn.STDEV.P(IF($E$5:$E$30=$E35,AI$5:AI$30))</f>
        <v>13.492507368982269</v>
      </c>
      <c r="AJ36" s="81">
        <f t="array" ref="AJ36">_xlfn.STDEV.P(IF($E$5:$E$30=$E35,AJ$5:AJ$30))</f>
        <v>13.643388172163339</v>
      </c>
      <c r="AK36" s="81">
        <f t="array" ref="AK36">_xlfn.STDEV.P(IF($E$5:$E$30=$E35,AK$5:AK$30))</f>
        <v>13.575232549592299</v>
      </c>
      <c r="AL36" s="81">
        <f t="array" ref="AL36">_xlfn.STDEV.P(IF($E$5:$E$30=$E35,AL$5:AL$30))</f>
        <v>13.643074044648264</v>
      </c>
      <c r="AM36" s="81">
        <f t="array" ref="AM36">_xlfn.STDEV.P(IF($E$5:$E$30=$E35,AM$5:AM$30))</f>
        <v>13.530690737605923</v>
      </c>
      <c r="AN36" s="81">
        <f t="array" ref="AN36">_xlfn.STDEV.P(IF($E$5:$E$30=$E35,AN$5:AN$30))</f>
        <v>13.710966860323817</v>
      </c>
      <c r="AO36" s="81">
        <f t="array" ref="AO36">_xlfn.STDEV.P(IF($E$5:$E$30=$E35,AO$5:AO$30))</f>
        <v>13.984875211952287</v>
      </c>
      <c r="AP36" s="81">
        <f t="array" ref="AP36">_xlfn.STDEV.P(IF($E$5:$E$30=$E35,AP$5:AP$30))</f>
        <v>14.143535337274576</v>
      </c>
      <c r="AQ36" s="81">
        <f t="array" ref="AQ36">_xlfn.STDEV.P(IF($E$5:$E$30=$E35,AQ$5:AQ$30))</f>
        <v>14.325487490369559</v>
      </c>
      <c r="AR36" s="81">
        <f t="array" ref="AR36">_xlfn.STDEV.P(IF($E$5:$E$30=$E35,AR$5:AR$30))</f>
        <v>10.777754868245983</v>
      </c>
      <c r="AS36" s="81">
        <f t="array" ref="AS36">_xlfn.STDEV.P(IF($E$5:$E$30=$E35,AS$5:AS$30))</f>
        <v>10.812747578857172</v>
      </c>
      <c r="AT36" s="81">
        <f t="array" ref="AT36">_xlfn.STDEV.P(IF($E$5:$E$30=$E35,AT$5:AT$30))</f>
        <v>10.742762157634795</v>
      </c>
      <c r="AU36" s="81">
        <f t="array" ref="AU36">_xlfn.STDEV.P(IF($E$5:$E$30=$E35,AU$5:AU$30))</f>
        <v>10.917725710690737</v>
      </c>
      <c r="AV36" s="81">
        <f t="array" ref="AV36">_xlfn.STDEV.P(IF($E$5:$E$30=$E35,AV$5:AV$30))</f>
        <v>10.812747578857172</v>
      </c>
      <c r="AW36" s="81">
        <f t="array" ref="AW36">_xlfn.STDEV.P(IF($E$5:$E$30=$E35,AW$5:AW$30))</f>
        <v>10.25286420907816</v>
      </c>
      <c r="AX36" s="81">
        <f t="array" ref="AX36">_xlfn.STDEV.P(IF($E$5:$E$30=$E35,AX$5:AX$30))</f>
        <v>10.112893366633406</v>
      </c>
      <c r="AY36" s="81">
        <f t="array" ref="AY36">_xlfn.STDEV.P(IF($E$5:$E$30=$E35,AY$5:AY$30))</f>
        <v>10.322849630300537</v>
      </c>
      <c r="AZ36" s="81">
        <f t="array" ref="AZ36">_xlfn.STDEV.P(IF($E$5:$E$30=$E35,AZ$5:AZ$30))</f>
        <v>10.602791315190043</v>
      </c>
      <c r="BA36" s="81">
        <f t="array" ref="BA36">_xlfn.STDEV.P(IF($E$5:$E$30=$E35,BA$5:BA$30))</f>
        <v>10.427827762134102</v>
      </c>
      <c r="BB36" s="81">
        <f t="array" ref="BB36">_xlfn.STDEV.P(IF($E$5:$E$30=$E35,BB$5:BB$30))</f>
        <v>10.637784025801231</v>
      </c>
      <c r="BC36" s="81">
        <f t="array" ref="BC36">_xlfn.STDEV.P(IF($E$5:$E$30=$E35,BC$5:BC$30))</f>
        <v>10.777754868245983</v>
      </c>
      <c r="BD36" s="104" t="s">
        <v>11</v>
      </c>
      <c r="BE36" s="74">
        <f t="array" ref="BE36">_xlfn.STDEV.P(IF($E$5:$E$30=$E35,BE$5:BE$30))</f>
        <v>1.2354961148581714E-2</v>
      </c>
      <c r="BF36" s="74" t="e">
        <f t="array" ref="BF36">_xlfn.STDEV.P(IF($E$5:$E$30=$E35,BF$5:BF$30))</f>
        <v>#DIV/0!</v>
      </c>
      <c r="BG36" s="74">
        <f t="array" ref="BG36">_xlfn.STDEV.P(IF($E$5:$E$30=$E35,BG$5:BG$30))</f>
        <v>0</v>
      </c>
      <c r="BH36" s="74">
        <f t="array" ref="BH36">_xlfn.STDEV.P(IF($E$5:$E$30=$E35,BH$5:BH$30))</f>
        <v>1.4529013498216089E-2</v>
      </c>
      <c r="BI36" s="74">
        <f t="array" ref="BI36">_xlfn.STDEV.P(IF($E$5:$E$30=$E35,BI$5:BI$30))</f>
        <v>3.1694226525581945E-2</v>
      </c>
      <c r="BJ36" s="74">
        <f t="array" ref="BJ36">_xlfn.STDEV.P(IF($E$5:$E$30=$E35,BJ$5:BJ$30))</f>
        <v>1.7009233420936472E-2</v>
      </c>
      <c r="BK36" s="74">
        <f t="array" ref="BK36">_xlfn.STDEV.P(IF($E$5:$E$30=$E35,BK$5:BK$30))</f>
        <v>1.9064888011012384E-2</v>
      </c>
      <c r="BL36" s="74">
        <f t="array" ref="BL36">_xlfn.STDEV.P(IF($E$5:$E$30=$E35,BL$5:BL$30))</f>
        <v>1.6595780311186956E-2</v>
      </c>
      <c r="BM36" s="74">
        <f t="array" ref="BM36">_xlfn.STDEV.P(IF($E$5:$E$30=$E35,BM$5:BM$30))</f>
        <v>1.9559970172709596E-2</v>
      </c>
      <c r="BN36" s="74">
        <f t="array" ref="BN36">_xlfn.STDEV.P(IF($E$5:$E$30=$E35,BN$5:BN$30))</f>
        <v>1.791906103044558E-2</v>
      </c>
      <c r="BO36" s="74">
        <f t="array" ref="BO36">_xlfn.STDEV.P(IF($E$5:$E$30=$E35,BO$5:BO$30))</f>
        <v>1.7960147685108757E-2</v>
      </c>
      <c r="BP36" s="74">
        <f t="array" ref="BP36">_xlfn.STDEV.P(IF($E$5:$E$30=$E35,BP$5:BP$30))</f>
        <v>1.5781942747894333E-2</v>
      </c>
      <c r="BQ36" s="74">
        <f t="array" ref="BQ36">_xlfn.STDEV.P(IF($E$5:$E$30=$E35,BQ$5:BQ$30))</f>
        <v>2.3540781791964154E-2</v>
      </c>
      <c r="BR36" s="74">
        <f t="array" ref="BR36">_xlfn.STDEV.P(IF($E$5:$E$30=$E35,BR$5:BR$30))</f>
        <v>2.0660643935129227E-2</v>
      </c>
      <c r="BS36" s="74">
        <f t="array" ref="BS36">_xlfn.STDEV.P(IF($E$5:$E$30=$E35,BS$5:BS$30))</f>
        <v>1.9043948534256845E-2</v>
      </c>
      <c r="BT36" s="74">
        <f t="array" ref="BT36">_xlfn.STDEV.P(IF($E$5:$E$30=$E35,BT$5:BT$30))</f>
        <v>3.454315893150476E-2</v>
      </c>
      <c r="BU36" s="74">
        <f t="array" ref="BU36">_xlfn.STDEV.P(IF($E$5:$E$30=$E35,BU$5:BU$30))</f>
        <v>2.0702398940302621E-2</v>
      </c>
      <c r="BV36" s="74">
        <f t="array" ref="BV36">_xlfn.STDEV.P(IF($E$5:$E$30=$E35,BV$5:BV$30))</f>
        <v>2.7165612391444022E-2</v>
      </c>
      <c r="BW36" s="74">
        <f t="array" ref="BW36">_xlfn.STDEV.P(IF($E$5:$E$30=$E35,BW$5:BW$30))</f>
        <v>1.738112174707308E-2</v>
      </c>
      <c r="BX36" s="74">
        <f t="array" ref="BX36">_xlfn.STDEV.P(IF($E$5:$E$30=$E35,BX$5:BX$30))</f>
        <v>0.1304000861522446</v>
      </c>
      <c r="BY36" s="74">
        <f t="array" ref="BY36">_xlfn.STDEV.P(IF($E$5:$E$30=$E35,BY$5:BY$30))</f>
        <v>4.0931272177714209E-2</v>
      </c>
      <c r="BZ36" s="74">
        <f t="array" ref="BZ36">_xlfn.STDEV.P(IF($E$5:$E$30=$E35,BZ$5:BZ$30))</f>
        <v>2.3390072310316323E-2</v>
      </c>
      <c r="CA36" s="74">
        <f t="array" ref="CA36">_xlfn.STDEV.P(IF($E$5:$E$30=$E35,CA$5:CA$30))</f>
        <v>3.0218226460674603E-2</v>
      </c>
      <c r="CB36" s="74">
        <f t="array" ref="CB36">_xlfn.STDEV.P(IF($E$5:$E$30=$E35,CB$5:CB$30))</f>
        <v>4.8686051159072763E-2</v>
      </c>
      <c r="CC36" s="74">
        <f t="array" ref="CC36">_xlfn.STDEV.P(IF($E$5:$E$30=$E35,CC$5:CC$30))</f>
        <v>1.1790567545963193E-2</v>
      </c>
      <c r="CD36" s="74">
        <f t="array" ref="CD36">_xlfn.STDEV.P(IF($E$5:$E$30=$E35,CD$5:CD$30))</f>
        <v>1.6998900879296563E-2</v>
      </c>
      <c r="CE36" s="74">
        <f t="array" ref="CE36">_xlfn.STDEV.P(IF($E$5:$E$30=$E35,CE$5:CE$30))</f>
        <v>1.5325239808153479E-2</v>
      </c>
      <c r="CF36" s="74">
        <f t="array" ref="CF36">_xlfn.STDEV.P(IF($E$5:$E$30=$E35,CF$5:CF$30))</f>
        <v>9.8671063149480265E-3</v>
      </c>
      <c r="CG36" s="74">
        <f t="array" ref="CG36">_xlfn.STDEV.P(IF($E$5:$E$30=$E35,CG$5:CG$30))</f>
        <v>2.4255595523581142E-2</v>
      </c>
      <c r="CH36" s="74">
        <f t="array" ref="CH36">_xlfn.STDEV.P(IF($E$5:$E$30=$E35,CH$5:CH$30))</f>
        <v>3.8768984812150298E-2</v>
      </c>
      <c r="CI36" s="74">
        <f t="array" ref="CI36">_xlfn.STDEV.P(IF($E$5:$E$30=$E35,CI$5:CI$30))</f>
        <v>4.0754896083133541E-2</v>
      </c>
      <c r="CJ36" s="74">
        <f t="array" ref="CJ36">_xlfn.STDEV.P(IF($E$5:$E$30=$E35,CJ$5:CJ$30))</f>
        <v>4.4539368505195798E-2</v>
      </c>
      <c r="CK36" s="74">
        <f t="array" ref="CK36">_xlfn.STDEV.P(IF($E$5:$E$30=$E35,CK$5:CK$30))</f>
        <v>0</v>
      </c>
      <c r="CL36" s="74">
        <f t="array" ref="CL36">_xlfn.STDEV.P(IF($E$5:$E$30=$E35,CL$5:CL$30))</f>
        <v>0</v>
      </c>
      <c r="CM36" s="74">
        <f t="array" ref="CM36">_xlfn.STDEV.P(IF($E$5:$E$30=$E35,CM$5:CM$30))</f>
        <v>0</v>
      </c>
      <c r="CN36" s="74">
        <f t="array" ref="CN36">_xlfn.STDEV.P(IF($E$5:$E$30=$E35,CN$5:CN$30))</f>
        <v>0</v>
      </c>
      <c r="CO36" s="74">
        <f t="array" ref="CO36">_xlfn.STDEV.P(IF($E$5:$E$30=$E35,CO$5:CO$30))</f>
        <v>0</v>
      </c>
      <c r="CP36" s="74">
        <f t="array" ref="CP36">_xlfn.STDEV.P(IF($E$5:$E$30=$E35,CP$5:CP$30))</f>
        <v>0</v>
      </c>
      <c r="CQ36" s="74">
        <f t="array" ref="CQ36">_xlfn.STDEV.P(IF($E$5:$E$30=$E35,CQ$5:CQ$30))</f>
        <v>0</v>
      </c>
      <c r="CR36" s="74">
        <f t="array" ref="CR36">_xlfn.STDEV.P(IF($E$5:$E$30=$E35,CR$5:CR$30))</f>
        <v>0</v>
      </c>
      <c r="CS36" s="74">
        <f t="array" ref="CS36">_xlfn.STDEV.P(IF($E$5:$E$30=$E35,CS$5:CS$30))</f>
        <v>0</v>
      </c>
      <c r="CT36" s="74">
        <f t="array" ref="CT36">_xlfn.STDEV.P(IF($E$5:$E$30=$E35,CT$5:CT$30))</f>
        <v>0</v>
      </c>
      <c r="CU36" s="74">
        <f t="array" ref="CU36">_xlfn.STDEV.P(IF($E$5:$E$30=$E35,CU$5:CU$30))</f>
        <v>0</v>
      </c>
      <c r="CV36" s="74">
        <f t="array" ref="CV36">_xlfn.STDEV.P(IF($E$5:$E$30=$E35,CV$5:CV$30))</f>
        <v>0</v>
      </c>
      <c r="CW36" s="76"/>
    </row>
    <row r="37" spans="1:101" ht="15">
      <c r="A37" s="113"/>
      <c r="E37" s="52"/>
      <c r="I37" s="52"/>
    </row>
    <row r="38" spans="1:101" ht="14.25" customHeight="1">
      <c r="A38" s="113"/>
      <c r="E38" s="118" t="str">
        <f>'FIG6 Groups'!C7</f>
        <v>AsPc-1 - CP-PTX Combo</v>
      </c>
      <c r="I38" s="118" t="str">
        <f>E38</f>
        <v>AsPc-1 - CP-PTX Combo</v>
      </c>
      <c r="J38" s="227">
        <f>AVERAGEIF($E$5:$E$30,$E38,J$5:J$30)</f>
        <v>27.733333333333334</v>
      </c>
      <c r="K38" s="72" t="s">
        <v>9</v>
      </c>
      <c r="L38" s="78">
        <f>AVERAGEIF($E$5:$E$30,$E38,L$5:L$30)</f>
        <v>27.416666666666668</v>
      </c>
      <c r="M38" s="78" t="e">
        <f>AVERAGEIF($E$5:$E$30,$E38,M$5:M$30)</f>
        <v>#DIV/0!</v>
      </c>
      <c r="N38" s="78">
        <f>AVERAGEIF($E$5:$E$30,$E38,N$5:N$30)</f>
        <v>27.733333333333334</v>
      </c>
      <c r="O38" s="78">
        <f>AVERAGEIF($E$5:$E$30,$E38,O$5:O$30)</f>
        <v>26.833333333333332</v>
      </c>
      <c r="P38" s="78">
        <f>AVERAGEIF($E$5:$E$30,$E38,P$5:P$30)</f>
        <v>27.066666666666666</v>
      </c>
      <c r="Q38" s="78">
        <f>AVERAGEIF($E$5:$E$30,$E38,Q$5:Q$30)</f>
        <v>27.299999999999997</v>
      </c>
      <c r="R38" s="78">
        <f>AVERAGEIF($E$5:$E$30,$E38,R$5:R$30)</f>
        <v>27.066666666666666</v>
      </c>
      <c r="S38" s="78">
        <f>AVERAGEIF($E$5:$E$30,$E38,S$5:S$30)</f>
        <v>27.433333333333326</v>
      </c>
      <c r="T38" s="78">
        <f>AVERAGEIF($E$5:$E$30,$E38,T$5:T$30)</f>
        <v>27.249999999999996</v>
      </c>
      <c r="U38" s="78">
        <f>AVERAGEIF($E$5:$E$30,$E38,U$5:U$30)</f>
        <v>29.05</v>
      </c>
      <c r="V38" s="78">
        <f>AVERAGEIF($E$5:$E$30,$E38,V$5:V$30)</f>
        <v>27.950000000000003</v>
      </c>
      <c r="W38" s="78">
        <f>AVERAGEIF($E$5:$E$30,$E38,W$5:W$30)</f>
        <v>29.283333333333331</v>
      </c>
      <c r="X38" s="78">
        <f>AVERAGEIF($E$5:$E$30,$E38,X$5:X$30)</f>
        <v>28.566666666666666</v>
      </c>
      <c r="Y38" s="78">
        <f>AVERAGEIF($E$5:$E$30,$E38,Y$5:Y$30)</f>
        <v>29.333333333333332</v>
      </c>
      <c r="Z38" s="78">
        <f>AVERAGEIF($E$5:$E$30,$E38,Z$5:Z$30)</f>
        <v>28.733333333333334</v>
      </c>
      <c r="AA38" s="78">
        <f>AVERAGEIF($E$5:$E$30,$E38,AA$5:AA$30)</f>
        <v>26.283333333333331</v>
      </c>
      <c r="AB38" s="78">
        <f>AVERAGEIF($E$5:$E$30,$E38,AB$5:AB$30)</f>
        <v>28.099999999999998</v>
      </c>
      <c r="AC38" s="78">
        <f>AVERAGEIF($E$5:$E$30,$E38,AC$5:AC$30)</f>
        <v>29.016666666666666</v>
      </c>
      <c r="AD38" s="78">
        <f>AVERAGEIF($E$5:$E$30,$E38,AD$5:AD$30)</f>
        <v>28.45</v>
      </c>
      <c r="AE38" s="78">
        <f>AVERAGEIF($E$5:$E$30,$E38,AE$5:AE$30)</f>
        <v>27.650000000000002</v>
      </c>
      <c r="AF38" s="78">
        <f>AVERAGEIF($E$5:$E$30,$E38,AF$5:AF$30)</f>
        <v>28.433333333333334</v>
      </c>
      <c r="AG38" s="78">
        <f>AVERAGEIF($E$5:$E$30,$E38,AG$5:AG$30)</f>
        <v>28.599999999999998</v>
      </c>
      <c r="AH38" s="78">
        <f>AVERAGEIF($E$5:$E$30,$E38,AH$5:AH$30)</f>
        <v>29.05</v>
      </c>
      <c r="AI38" s="78">
        <f>AVERAGEIF($E$5:$E$30,$E38,AI$5:AI$30)</f>
        <v>29.566666666666666</v>
      </c>
      <c r="AJ38" s="78">
        <f>AVERAGEIF($E$5:$E$30,$E38,AJ$5:AJ$30)</f>
        <v>29.633333333333336</v>
      </c>
      <c r="AK38" s="78">
        <f>AVERAGEIF($E$5:$E$30,$E38,AK$5:AK$30)</f>
        <v>28.683333333333334</v>
      </c>
      <c r="AL38" s="78">
        <f>AVERAGEIF($E$5:$E$30,$E38,AL$5:AL$30)</f>
        <v>29.25</v>
      </c>
      <c r="AM38" s="78">
        <f>AVERAGEIF($E$5:$E$30,$E38,AM$5:AM$30)</f>
        <v>29.833333333333332</v>
      </c>
      <c r="AN38" s="78">
        <f>AVERAGEIF($E$5:$E$30,$E38,AN$5:AN$30)</f>
        <v>30.099999999999998</v>
      </c>
      <c r="AO38" s="78">
        <f>AVERAGEIF($E$5:$E$30,$E38,AO$5:AO$30)</f>
        <v>30.5</v>
      </c>
      <c r="AP38" s="78">
        <f>AVERAGEIF($E$5:$E$30,$E38,AP$5:AP$30)</f>
        <v>30.560000000000002</v>
      </c>
      <c r="AQ38" s="78">
        <f>AVERAGEIF($E$5:$E$30,$E38,AQ$5:AQ$30)</f>
        <v>30.5</v>
      </c>
      <c r="AR38" s="78">
        <f>AVERAGEIF($E$5:$E$30,$E38,AR$5:AR$30)</f>
        <v>29.839999999999996</v>
      </c>
      <c r="AS38" s="78">
        <f>AVERAGEIF($E$5:$E$30,$E38,AS$5:AS$30)</f>
        <v>28.05</v>
      </c>
      <c r="AT38" s="78">
        <f>AVERAGEIF($E$5:$E$30,$E38,AT$5:AT$30)</f>
        <v>28.200000000000003</v>
      </c>
      <c r="AU38" s="78">
        <f>AVERAGEIF($E$5:$E$30,$E38,AU$5:AU$30)</f>
        <v>28.925000000000004</v>
      </c>
      <c r="AV38" s="78">
        <f>AVERAGEIF($E$5:$E$30,$E38,AV$5:AV$30)</f>
        <v>29.35</v>
      </c>
      <c r="AW38" s="78">
        <f>AVERAGEIF($E$5:$E$30,$E38,AW$5:AW$30)</f>
        <v>28.866666666666664</v>
      </c>
      <c r="AX38" s="78">
        <f>AVERAGEIF($E$5:$E$30,$E38,AX$5:AX$30)</f>
        <v>29.100000000000005</v>
      </c>
      <c r="AY38" s="78">
        <f>AVERAGEIF($E$5:$E$30,$E38,AY$5:AY$30)</f>
        <v>29.533333333333331</v>
      </c>
      <c r="AZ38" s="78">
        <f>AVERAGEIF($E$5:$E$30,$E38,AZ$5:AZ$30)</f>
        <v>29.2</v>
      </c>
      <c r="BA38" s="78">
        <f>AVERAGEIF($E$5:$E$30,$E38,BA$5:BA$30)</f>
        <v>29.950000000000003</v>
      </c>
      <c r="BB38" s="78">
        <f>AVERAGEIF($E$5:$E$30,$E38,BB$5:BB$30)</f>
        <v>30.1</v>
      </c>
      <c r="BC38" s="78">
        <f>AVERAGEIF($E$5:$E$30,$E38,BC$5:BC$30)</f>
        <v>29.95</v>
      </c>
      <c r="BD38" s="103" t="s">
        <v>9</v>
      </c>
      <c r="BE38" s="73">
        <f>AVERAGEIF($E$5:$E$30,$E38,BE$5:BE$30)</f>
        <v>0.98799664868526105</v>
      </c>
      <c r="BF38" s="73" t="e">
        <f>AVERAGEIF($E$5:$E$30,$E38,BF$5:BF$30)</f>
        <v>#DIV/0!</v>
      </c>
      <c r="BG38" s="73">
        <f>AVERAGEIF($E$5:$E$30,$E38,BG$5:BG$30)</f>
        <v>1</v>
      </c>
      <c r="BH38" s="73">
        <f>AVERAGEIF($E$5:$E$30,$E38,BH$5:BH$30)</f>
        <v>0.96728053737821762</v>
      </c>
      <c r="BI38" s="73">
        <f>AVERAGEIF($E$5:$E$30,$E38,BI$5:BI$30)</f>
        <v>0.97468349763329831</v>
      </c>
      <c r="BJ38" s="73">
        <f>AVERAGEIF($E$5:$E$30,$E38,BJ$5:BJ$30)</f>
        <v>0.98367357823261881</v>
      </c>
      <c r="BK38" s="73">
        <f>AVERAGEIF($E$5:$E$30,$E38,BK$5:BK$30)</f>
        <v>0.97631398231837541</v>
      </c>
      <c r="BL38" s="73">
        <f>AVERAGEIF($E$5:$E$30,$E38,BL$5:BL$30)</f>
        <v>0.98932062077303129</v>
      </c>
      <c r="BM38" s="73">
        <f>AVERAGEIF($E$5:$E$30,$E38,BM$5:BM$30)</f>
        <v>0.98301965412931336</v>
      </c>
      <c r="BN38" s="73">
        <f>AVERAGEIF($E$5:$E$30,$E38,BN$5:BN$30)</f>
        <v>1.0472980658758615</v>
      </c>
      <c r="BO38" s="73">
        <f>AVERAGEIF($E$5:$E$30,$E38,BO$5:BO$30)</f>
        <v>1.0069619670621897</v>
      </c>
      <c r="BP38" s="73">
        <f>AVERAGEIF($E$5:$E$30,$E38,BP$5:BP$30)</f>
        <v>1.0556223878801294</v>
      </c>
      <c r="BQ38" s="73">
        <f>AVERAGEIF($E$5:$E$30,$E38,BQ$5:BQ$30)</f>
        <v>1.029228603379337</v>
      </c>
      <c r="BR38" s="73">
        <f>AVERAGEIF($E$5:$E$30,$E38,BR$5:BR$30)</f>
        <v>1.0576579640832091</v>
      </c>
      <c r="BS38" s="73">
        <f>AVERAGEIF($E$5:$E$30,$E38,BS$5:BS$30)</f>
        <v>1.0366845670977154</v>
      </c>
      <c r="BT38" s="73">
        <f>AVERAGEIF($E$5:$E$30,$E38,BT$5:BT$30)</f>
        <v>0.94737331410035897</v>
      </c>
      <c r="BU38" s="73">
        <f>AVERAGEIF($E$5:$E$30,$E38,BU$5:BU$30)</f>
        <v>1.0135388472367663</v>
      </c>
      <c r="BV38" s="73">
        <f>AVERAGEIF($E$5:$E$30,$E38,BV$5:BV$30)</f>
        <v>1.0458747375830291</v>
      </c>
      <c r="BW38" s="73">
        <f>AVERAGEIF($E$5:$E$30,$E38,BW$5:BW$30)</f>
        <v>1.0247104620130152</v>
      </c>
      <c r="BX38" s="73">
        <f>AVERAGEIF($E$5:$E$30,$E38,BX$5:BX$30)</f>
        <v>0.99974314596301284</v>
      </c>
      <c r="BY38" s="73">
        <f>AVERAGEIF($E$5:$E$30,$E38,BY$5:BY$30)</f>
        <v>1.024993396764623</v>
      </c>
      <c r="BZ38" s="73">
        <f>AVERAGEIF($E$5:$E$30,$E38,BZ$5:BZ$30)</f>
        <v>1.0281063527197356</v>
      </c>
      <c r="CA38" s="73">
        <f>AVERAGEIF($E$5:$E$30,$E38,CA$5:CA$30)</f>
        <v>1.0445355033225259</v>
      </c>
      <c r="CB38" s="73">
        <f>AVERAGEIF($E$5:$E$30,$E38,CB$5:CB$30)</f>
        <v>1.0648022497564897</v>
      </c>
      <c r="CC38" s="73">
        <f>AVERAGEIF($E$5:$E$30,$E38,CC$5:CC$30)</f>
        <v>1.0671072381711586</v>
      </c>
      <c r="CD38" s="73">
        <f>AVERAGEIF($E$5:$E$30,$E38,CD$5:CD$30)</f>
        <v>1.0310253324022567</v>
      </c>
      <c r="CE38" s="73">
        <f>AVERAGEIF($E$5:$E$30,$E38,CE$5:CE$30)</f>
        <v>1.0520370224795641</v>
      </c>
      <c r="CF38" s="73">
        <f>AVERAGEIF($E$5:$E$30,$E38,CF$5:CF$30)</f>
        <v>1.0734926936502733</v>
      </c>
      <c r="CG38" s="73">
        <f>AVERAGEIF($E$5:$E$30,$E38,CG$5:CG$30)</f>
        <v>1.0842696307297894</v>
      </c>
      <c r="CH38" s="73">
        <f>AVERAGEIF($E$5:$E$30,$E38,CH$5:CH$30)</f>
        <v>1.1150651901605106</v>
      </c>
      <c r="CI38" s="73">
        <f>AVERAGEIF($E$5:$E$30,$E38,CI$5:CI$30)</f>
        <v>1.1164280061596448</v>
      </c>
      <c r="CJ38" s="73">
        <f>AVERAGEIF($E$5:$E$30,$E38,CJ$5:CJ$30)</f>
        <v>1.1117854216781915</v>
      </c>
      <c r="CK38" s="73">
        <f>AVERAGEIF($E$5:$E$30,$E38,CK$5:CK$30)</f>
        <v>1.0876057926484588</v>
      </c>
      <c r="CL38" s="73">
        <f>AVERAGEIF($E$5:$E$30,$E38,CL$5:CL$30)</f>
        <v>1.063072781642505</v>
      </c>
      <c r="CM38" s="73">
        <f>AVERAGEIF($E$5:$E$30,$E38,CM$5:CM$30)</f>
        <v>1.06949765306251</v>
      </c>
      <c r="CN38" s="73">
        <f>AVERAGEIF($E$5:$E$30,$E38,CN$5:CN$30)</f>
        <v>1.0986698329273985</v>
      </c>
      <c r="CO38" s="73">
        <f>AVERAGEIF($E$5:$E$30,$E38,CO$5:CO$30)</f>
        <v>1.1146711419640902</v>
      </c>
      <c r="CP38" s="73">
        <f>AVERAGEIF($E$5:$E$30,$E38,CP$5:CP$30)</f>
        <v>1.0948546348266999</v>
      </c>
      <c r="CQ38" s="73">
        <f>AVERAGEIF($E$5:$E$30,$E38,CQ$5:CQ$30)</f>
        <v>1.1061965648704604</v>
      </c>
      <c r="CR38" s="73">
        <f>AVERAGEIF($E$5:$E$30,$E38,CR$5:CR$30)</f>
        <v>1.1224975167970062</v>
      </c>
      <c r="CS38" s="73">
        <f>AVERAGEIF($E$5:$E$30,$E38,CS$5:CS$30)</f>
        <v>1.1093375395246579</v>
      </c>
      <c r="CT38" s="73">
        <f>AVERAGEIF($E$5:$E$30,$E38,CT$5:CT$30)</f>
        <v>1.0992471786031728</v>
      </c>
      <c r="CU38" s="73">
        <f>AVERAGEIF($E$5:$E$30,$E38,CU$5:CU$30)</f>
        <v>1.1046812292940449</v>
      </c>
      <c r="CV38" s="73">
        <f>AVERAGEIF($E$5:$E$30,$E38,CV$5:CV$30)</f>
        <v>1.0992067767393001</v>
      </c>
      <c r="CW38" s="76"/>
    </row>
    <row r="39" spans="1:101" ht="14.25" customHeight="1">
      <c r="A39" s="113"/>
      <c r="E39" s="93"/>
      <c r="I39" s="93"/>
      <c r="J39" s="227">
        <f t="array" ref="J39">_xlfn.STDEV.P(IF($E$5:$E$30=$E38,J$5:J$30))</f>
        <v>2.2617593938249829</v>
      </c>
      <c r="K39" s="72" t="s">
        <v>11</v>
      </c>
      <c r="L39" s="81">
        <f t="array" ref="L39">_xlfn.STDEV.P(IF($E$5:$E$30=$E38,L$5:L$30))</f>
        <v>2.4680739228979522</v>
      </c>
      <c r="M39" s="81">
        <f t="array" ref="M39">_xlfn.STDEV.P(IF($E$5:$E$30=$E38,M$5:M$30))</f>
        <v>0</v>
      </c>
      <c r="N39" s="81">
        <f t="array" ref="N39">_xlfn.STDEV.P(IF($E$5:$E$30=$E38,N$5:N$30))</f>
        <v>2.2617593938249829</v>
      </c>
      <c r="O39" s="81">
        <f t="array" ref="O39">_xlfn.STDEV.P(IF($E$5:$E$30=$E38,O$5:O$30))</f>
        <v>2.3879326251429753</v>
      </c>
      <c r="P39" s="81">
        <f t="array" ref="P39">_xlfn.STDEV.P(IF($E$5:$E$30=$E38,P$5:P$30))</f>
        <v>2.6718699236468999</v>
      </c>
      <c r="Q39" s="81">
        <f t="array" ref="Q39">_xlfn.STDEV.P(IF($E$5:$E$30=$E38,Q$5:Q$30))</f>
        <v>2.5370586644117372</v>
      </c>
      <c r="R39" s="81">
        <f t="array" ref="R39">_xlfn.STDEV.P(IF($E$5:$E$30=$E38,R$5:R$30))</f>
        <v>2.128118626601649</v>
      </c>
      <c r="S39" s="81">
        <f t="array" ref="S39">_xlfn.STDEV.P(IF($E$5:$E$30=$E38,S$5:S$30))</f>
        <v>2.2283526551144361</v>
      </c>
      <c r="T39" s="81">
        <f t="array" ref="T39">_xlfn.STDEV.P(IF($E$5:$E$30=$E38,T$5:T$30))</f>
        <v>2.0718349355100663</v>
      </c>
      <c r="U39" s="81">
        <f t="array" ref="U39">_xlfn.STDEV.P(IF($E$5:$E$30=$E38,U$5:U$30))</f>
        <v>2.5250412537884084</v>
      </c>
      <c r="V39" s="81">
        <f t="array" ref="V39">_xlfn.STDEV.P(IF($E$5:$E$30=$E38,V$5:V$30))</f>
        <v>2.6335970332101559</v>
      </c>
      <c r="W39" s="81">
        <f t="array" ref="W39">_xlfn.STDEV.P(IF($E$5:$E$30=$E38,W$5:W$30))</f>
        <v>2.5497821257685689</v>
      </c>
      <c r="X39" s="81">
        <f t="array" ref="X39">_xlfn.STDEV.P(IF($E$5:$E$30=$E38,X$5:X$30))</f>
        <v>2.7151836442904234</v>
      </c>
      <c r="Y39" s="81">
        <f t="array" ref="Y39">_xlfn.STDEV.P(IF($E$5:$E$30=$E38,Y$5:Y$30))</f>
        <v>2.478350706058813</v>
      </c>
      <c r="Z39" s="81">
        <f t="array" ref="Z39">_xlfn.STDEV.P(IF($E$5:$E$30=$E38,Z$5:Z$30))</f>
        <v>2.2110831935702655</v>
      </c>
      <c r="AA39" s="81">
        <f t="array" ref="AA39">_xlfn.STDEV.P(IF($E$5:$E$30=$E38,AA$5:AA$30))</f>
        <v>2.504274124150327</v>
      </c>
      <c r="AB39" s="81">
        <f t="array" ref="AB39">_xlfn.STDEV.P(IF($E$5:$E$30=$E38,AB$5:AB$30))</f>
        <v>2.2323380867004299</v>
      </c>
      <c r="AC39" s="81">
        <f t="array" ref="AC39">_xlfn.STDEV.P(IF($E$5:$E$30=$E38,AC$5:AC$30))</f>
        <v>2.5660713595343019</v>
      </c>
      <c r="AD39" s="81">
        <f t="array" ref="AD39">_xlfn.STDEV.P(IF($E$5:$E$30=$E38,AD$5:AD$30))</f>
        <v>2.7554491466909701</v>
      </c>
      <c r="AE39" s="81">
        <f t="array" ref="AE39">_xlfn.STDEV.P(IF($E$5:$E$30=$E38,AE$5:AE$30))</f>
        <v>3.7994517148311409</v>
      </c>
      <c r="AF39" s="81">
        <f t="array" ref="AF39">_xlfn.STDEV.P(IF($E$5:$E$30=$E38,AF$5:AF$30))</f>
        <v>2.5830645021412497</v>
      </c>
      <c r="AG39" s="81">
        <f t="array" ref="AG39">_xlfn.STDEV.P(IF($E$5:$E$30=$E38,AG$5:AG$30))</f>
        <v>3.5925849560819922</v>
      </c>
      <c r="AH39" s="81">
        <f t="array" ref="AH39">_xlfn.STDEV.P(IF($E$5:$E$30=$E38,AH$5:AH$30))</f>
        <v>3.583643397437843</v>
      </c>
      <c r="AI39" s="81">
        <f t="array" ref="AI39">_xlfn.STDEV.P(IF($E$5:$E$30=$E38,AI$5:AI$30))</f>
        <v>2.9015321623047527</v>
      </c>
      <c r="AJ39" s="81">
        <f t="array" ref="AJ39">_xlfn.STDEV.P(IF($E$5:$E$30=$E38,AJ$5:AJ$30))</f>
        <v>2.9414659988213745</v>
      </c>
      <c r="AK39" s="81">
        <f t="array" ref="AK39">_xlfn.STDEV.P(IF($E$5:$E$30=$E38,AK$5:AK$30))</f>
        <v>3.6177417756876191</v>
      </c>
      <c r="AL39" s="81">
        <f t="array" ref="AL39">_xlfn.STDEV.P(IF($E$5:$E$30=$E38,AL$5:AL$30))</f>
        <v>3.4111337313763173</v>
      </c>
      <c r="AM39" s="81">
        <f t="array" ref="AM39">_xlfn.STDEV.P(IF($E$5:$E$30=$E38,AM$5:AM$30))</f>
        <v>3.3159546974522529</v>
      </c>
      <c r="AN39" s="81">
        <f t="array" ref="AN39">_xlfn.STDEV.P(IF($E$5:$E$30=$E38,AN$5:AN$30))</f>
        <v>2.9097537123726922</v>
      </c>
      <c r="AO39" s="81">
        <f t="array" ref="AO39">_xlfn.STDEV.P(IF($E$5:$E$30=$E38,AO$5:AO$30))</f>
        <v>11.603220338432873</v>
      </c>
      <c r="AP39" s="81">
        <f t="array" ref="AP39">_xlfn.STDEV.P(IF($E$5:$E$30=$E38,AP$5:AP$30))</f>
        <v>11.680991206038783</v>
      </c>
      <c r="AQ39" s="81">
        <f t="array" ref="AQ39">_xlfn.STDEV.P(IF($E$5:$E$30=$E38,AQ$5:AQ$30))</f>
        <v>11.857826763600302</v>
      </c>
      <c r="AR39" s="81">
        <f t="array" ref="AR39">_xlfn.STDEV.P(IF($E$5:$E$30=$E38,AR$5:AR$30))</f>
        <v>11.607708166941867</v>
      </c>
      <c r="AS39" s="81">
        <f t="array" ref="AS39">_xlfn.STDEV.P(IF($E$5:$E$30=$E38,AS$5:AS$30))</f>
        <v>13.428824718989125</v>
      </c>
      <c r="AT39" s="81">
        <f t="array" ref="AT39">_xlfn.STDEV.P(IF($E$5:$E$30=$E38,AT$5:AT$30))</f>
        <v>13.453747928861064</v>
      </c>
      <c r="AU39" s="81">
        <f t="array" ref="AU39">_xlfn.STDEV.P(IF($E$5:$E$30=$E38,AU$5:AU$30))</f>
        <v>13.697252360317455</v>
      </c>
      <c r="AV39" s="81">
        <f t="array" ref="AV39">_xlfn.STDEV.P(IF($E$5:$E$30=$E38,AV$5:AV$30))</f>
        <v>13.891204251451907</v>
      </c>
      <c r="AW39" s="81">
        <f t="array" ref="AW39">_xlfn.STDEV.P(IF($E$5:$E$30=$E38,AW$5:AW$30))</f>
        <v>14.518685278709718</v>
      </c>
      <c r="AX39" s="81">
        <f t="array" ref="AX39">_xlfn.STDEV.P(IF($E$5:$E$30=$E38,AX$5:AX$30))</f>
        <v>14.572777131807555</v>
      </c>
      <c r="AY39" s="81">
        <f t="array" ref="AY39">_xlfn.STDEV.P(IF($E$5:$E$30=$E38,AY$5:AY$30))</f>
        <v>14.790387268613205</v>
      </c>
      <c r="AZ39" s="81">
        <f t="array" ref="AZ39">_xlfn.STDEV.P(IF($E$5:$E$30=$E38,AZ$5:AZ$30))</f>
        <v>14.639102886903054</v>
      </c>
      <c r="BA39" s="81">
        <f t="array" ref="BA39">_xlfn.STDEV.P(IF($E$5:$E$30=$E38,BA$5:BA$30))</f>
        <v>14.123552039845437</v>
      </c>
      <c r="BB39" s="81">
        <f t="array" ref="BB39">_xlfn.STDEV.P(IF($E$5:$E$30=$E38,BB$5:BB$30))</f>
        <v>14.190333172817175</v>
      </c>
      <c r="BC39" s="81">
        <f t="array" ref="BC39">_xlfn.STDEV.P(IF($E$5:$E$30=$E38,BC$5:BC$30))</f>
        <v>14.120955664858128</v>
      </c>
      <c r="BD39" s="104" t="s">
        <v>11</v>
      </c>
      <c r="BE39" s="74">
        <f t="array" ref="BE39">_xlfn.STDEV.P(IF($E$5:$E$30=$E38,BE$5:BE$30))</f>
        <v>1.2578428025976428E-2</v>
      </c>
      <c r="BF39" s="74" t="e">
        <f t="array" ref="BF39">_xlfn.STDEV.P(IF($E$5:$E$30=$E38,BF$5:BF$30))</f>
        <v>#DIV/0!</v>
      </c>
      <c r="BG39" s="74">
        <f t="array" ref="BG39">_xlfn.STDEV.P(IF($E$5:$E$30=$E38,BG$5:BG$30))</f>
        <v>0</v>
      </c>
      <c r="BH39" s="74">
        <f t="array" ref="BH39">_xlfn.STDEV.P(IF($E$5:$E$30=$E38,BH$5:BH$30))</f>
        <v>2.410092000472773E-2</v>
      </c>
      <c r="BI39" s="74">
        <f t="array" ref="BI39">_xlfn.STDEV.P(IF($E$5:$E$30=$E38,BI$5:BI$30))</f>
        <v>2.6156103006814365E-2</v>
      </c>
      <c r="BJ39" s="74">
        <f t="array" ref="BJ39">_xlfn.STDEV.P(IF($E$5:$E$30=$E38,BJ$5:BJ$30))</f>
        <v>2.4197179167413999E-2</v>
      </c>
      <c r="BK39" s="74">
        <f t="array" ref="BK39">_xlfn.STDEV.P(IF($E$5:$E$30=$E38,BK$5:BK$30))</f>
        <v>1.8161224401752975E-2</v>
      </c>
      <c r="BL39" s="74">
        <f t="array" ref="BL39">_xlfn.STDEV.P(IF($E$5:$E$30=$E38,BL$5:BL$30))</f>
        <v>1.4856854141631348E-2</v>
      </c>
      <c r="BM39" s="74">
        <f t="array" ref="BM39">_xlfn.STDEV.P(IF($E$5:$E$30=$E38,BM$5:BM$30))</f>
        <v>1.132336609471726E-2</v>
      </c>
      <c r="BN39" s="74">
        <f t="array" ref="BN39">_xlfn.STDEV.P(IF($E$5:$E$30=$E38,BN$5:BN$30))</f>
        <v>2.3324410691940148E-2</v>
      </c>
      <c r="BO39" s="74">
        <f t="array" ref="BO39">_xlfn.STDEV.P(IF($E$5:$E$30=$E38,BO$5:BO$30))</f>
        <v>2.6111934348227537E-2</v>
      </c>
      <c r="BP39" s="74">
        <f t="array" ref="BP39">_xlfn.STDEV.P(IF($E$5:$E$30=$E38,BP$5:BP$30))</f>
        <v>2.4738781715327004E-2</v>
      </c>
      <c r="BQ39" s="74">
        <f t="array" ref="BQ39">_xlfn.STDEV.P(IF($E$5:$E$30=$E38,BQ$5:BQ$30))</f>
        <v>3.0061387670932957E-2</v>
      </c>
      <c r="BR39" s="74">
        <f t="array" ref="BR39">_xlfn.STDEV.P(IF($E$5:$E$30=$E38,BR$5:BR$30))</f>
        <v>2.3618394726993126E-2</v>
      </c>
      <c r="BS39" s="74">
        <f t="array" ref="BS39">_xlfn.STDEV.P(IF($E$5:$E$30=$E38,BS$5:BS$30))</f>
        <v>2.4576467033953553E-2</v>
      </c>
      <c r="BT39" s="74">
        <f t="array" ref="BT39">_xlfn.STDEV.P(IF($E$5:$E$30=$E38,BT$5:BT$30))</f>
        <v>4.5062862408419946E-2</v>
      </c>
      <c r="BU39" s="74">
        <f t="array" ref="BU39">_xlfn.STDEV.P(IF($E$5:$E$30=$E38,BU$5:BU$30))</f>
        <v>2.3144971372883179E-2</v>
      </c>
      <c r="BV39" s="74">
        <f t="array" ref="BV39">_xlfn.STDEV.P(IF($E$5:$E$30=$E38,BV$5:BV$30))</f>
        <v>1.6789372221043399E-2</v>
      </c>
      <c r="BW39" s="74">
        <f t="array" ref="BW39">_xlfn.STDEV.P(IF($E$5:$E$30=$E38,BW$5:BW$30))</f>
        <v>2.1240390018024802E-2</v>
      </c>
      <c r="BX39" s="74">
        <f t="array" ref="BX39">_xlfn.STDEV.P(IF($E$5:$E$30=$E38,BX$5:BX$30))</f>
        <v>0.12430634362194884</v>
      </c>
      <c r="BY39" s="74">
        <f t="array" ref="BY39">_xlfn.STDEV.P(IF($E$5:$E$30=$E38,BY$5:BY$30))</f>
        <v>3.4581103016452078E-2</v>
      </c>
      <c r="BZ39" s="74">
        <f t="array" ref="BZ39">_xlfn.STDEV.P(IF($E$5:$E$30=$E38,BZ$5:BZ$30))</f>
        <v>6.5444070083092235E-2</v>
      </c>
      <c r="CA39" s="74">
        <f t="array" ref="CA39">_xlfn.STDEV.P(IF($E$5:$E$30=$E38,CA$5:CA$30))</f>
        <v>6.5290524062626823E-2</v>
      </c>
      <c r="CB39" s="74">
        <f t="array" ref="CB39">_xlfn.STDEV.P(IF($E$5:$E$30=$E38,CB$5:CB$30))</f>
        <v>2.1999349014847746E-2</v>
      </c>
      <c r="CC39" s="74">
        <f t="array" ref="CC39">_xlfn.STDEV.P(IF($E$5:$E$30=$E38,CC$5:CC$30))</f>
        <v>3.0443723149372163E-2</v>
      </c>
      <c r="CD39" s="74">
        <f t="array" ref="CD39">_xlfn.STDEV.P(IF($E$5:$E$30=$E38,CD$5:CD$30))</f>
        <v>6.5475969618567206E-2</v>
      </c>
      <c r="CE39" s="74">
        <f t="array" ref="CE39">_xlfn.STDEV.P(IF($E$5:$E$30=$E38,CE$5:CE$30))</f>
        <v>5.3229523723820164E-2</v>
      </c>
      <c r="CF39" s="74">
        <f t="array" ref="CF39">_xlfn.STDEV.P(IF($E$5:$E$30=$E38,CF$5:CF$30))</f>
        <v>4.8541634354905883E-2</v>
      </c>
      <c r="CG39" s="74">
        <f t="array" ref="CG39">_xlfn.STDEV.P(IF($E$5:$E$30=$E38,CG$5:CG$30))</f>
        <v>3.5827253705600554E-2</v>
      </c>
      <c r="CH39" s="74">
        <f t="array" ref="CH39">_xlfn.STDEV.P(IF($E$5:$E$30=$E38,CH$5:CH$30))</f>
        <v>2.5043086595811271E-2</v>
      </c>
      <c r="CI39" s="74">
        <f t="array" ref="CI39">_xlfn.STDEV.P(IF($E$5:$E$30=$E38,CI$5:CI$30))</f>
        <v>3.0870092690860482E-2</v>
      </c>
      <c r="CJ39" s="74">
        <f t="array" ref="CJ39">_xlfn.STDEV.P(IF($E$5:$E$30=$E38,CJ$5:CJ$30))</f>
        <v>5.6755044827646595E-2</v>
      </c>
      <c r="CK39" s="74">
        <f t="array" ref="CK39">_xlfn.STDEV.P(IF($E$5:$E$30=$E38,CK$5:CK$30))</f>
        <v>5.7039983980893778E-2</v>
      </c>
      <c r="CL39" s="74">
        <f t="array" ref="CL39">_xlfn.STDEV.P(IF($E$5:$E$30=$E38,CL$5:CL$30))</f>
        <v>7.3011435390923668E-2</v>
      </c>
      <c r="CM39" s="74">
        <f t="array" ref="CM39">_xlfn.STDEV.P(IF($E$5:$E$30=$E38,CM$5:CM$30))</f>
        <v>6.3122066878507466E-2</v>
      </c>
      <c r="CN39" s="74">
        <f t="array" ref="CN39">_xlfn.STDEV.P(IF($E$5:$E$30=$E38,CN$5:CN$30))</f>
        <v>3.5702514960450321E-2</v>
      </c>
      <c r="CO39" s="74">
        <f t="array" ref="CO39">_xlfn.STDEV.P(IF($E$5:$E$30=$E38,CO$5:CO$30))</f>
        <v>2.4084507363182874E-2</v>
      </c>
      <c r="CP39" s="74">
        <f t="array" ref="CP39">_xlfn.STDEV.P(IF($E$5:$E$30=$E38,CP$5:CP$30))</f>
        <v>3.7443362056106447E-2</v>
      </c>
      <c r="CQ39" s="74">
        <f t="array" ref="CQ39">_xlfn.STDEV.P(IF($E$5:$E$30=$E38,CQ$5:CQ$30))</f>
        <v>3.6452382893031515E-2</v>
      </c>
      <c r="CR39" s="74">
        <f t="array" ref="CR39">_xlfn.STDEV.P(IF($E$5:$E$30=$E38,CR$5:CR$30))</f>
        <v>3.2448055020540073E-2</v>
      </c>
      <c r="CS39" s="74">
        <f t="array" ref="CS39">_xlfn.STDEV.P(IF($E$5:$E$30=$E38,CS$5:CS$30))</f>
        <v>3.5507578862981545E-2</v>
      </c>
      <c r="CT39" s="74">
        <f t="array" ref="CT39">_xlfn.STDEV.P(IF($E$5:$E$30=$E38,CT$5:CT$30))</f>
        <v>2.9904112909742264E-2</v>
      </c>
      <c r="CU39" s="74">
        <f t="array" ref="CU39">_xlfn.STDEV.P(IF($E$5:$E$30=$E38,CU$5:CU$30))</f>
        <v>1.7089988418132251E-2</v>
      </c>
      <c r="CV39" s="74">
        <f t="array" ref="CV39">_xlfn.STDEV.P(IF($E$5:$E$30=$E38,CV$5:CV$30))</f>
        <v>2.2564440972876798E-2</v>
      </c>
      <c r="CW39" s="76"/>
    </row>
    <row r="40" spans="1:101" ht="15">
      <c r="A40" s="113"/>
      <c r="E40" s="52"/>
      <c r="I40" s="52"/>
    </row>
    <row r="41" spans="1:101" ht="14.25" customHeight="1">
      <c r="A41" s="113"/>
      <c r="E41" s="118" t="str">
        <f>'FIG6 Groups'!C8</f>
        <v>MIA PaCa-2 - Control</v>
      </c>
      <c r="I41" s="118" t="str">
        <f>E41</f>
        <v>MIA PaCa-2 - Control</v>
      </c>
      <c r="J41" s="227">
        <f>AVERAGEIF($E$5:$E$30,$E41,J$5:J$30)</f>
        <v>28.933333333333326</v>
      </c>
      <c r="K41" s="72" t="s">
        <v>9</v>
      </c>
      <c r="L41" s="78">
        <f>AVERAGEIF($E$5:$E$30,$E41,L$5:L$30)</f>
        <v>28</v>
      </c>
      <c r="M41" s="78" t="e">
        <f>AVERAGEIF($E$5:$E$30,$E41,M$5:M$30)</f>
        <v>#DIV/0!</v>
      </c>
      <c r="N41" s="78">
        <f>AVERAGEIF($E$5:$E$30,$E41,N$5:N$30)</f>
        <v>28.933333333333326</v>
      </c>
      <c r="O41" s="78">
        <f>AVERAGEIF($E$5:$E$30,$E41,O$5:O$30)</f>
        <v>28.433333333333334</v>
      </c>
      <c r="P41" s="78">
        <f>AVERAGEIF($E$5:$E$30,$E41,P$5:P$30)</f>
        <v>28.75</v>
      </c>
      <c r="Q41" s="78">
        <f>AVERAGEIF($E$5:$E$30,$E41,Q$5:Q$30)</f>
        <v>28.650000000000002</v>
      </c>
      <c r="R41" s="78">
        <f>AVERAGEIF($E$5:$E$30,$E41,R$5:R$30)</f>
        <v>28.8</v>
      </c>
      <c r="S41" s="78">
        <f>AVERAGEIF($E$5:$E$30,$E41,S$5:S$30)</f>
        <v>28.333333333333332</v>
      </c>
      <c r="T41" s="78">
        <f>AVERAGEIF($E$5:$E$30,$E41,T$5:T$30)</f>
        <v>28.333333333333329</v>
      </c>
      <c r="U41" s="78">
        <f>AVERAGEIF($E$5:$E$30,$E41,U$5:U$30)</f>
        <v>29.75</v>
      </c>
      <c r="V41" s="78">
        <f>AVERAGEIF($E$5:$E$30,$E41,V$5:V$30)</f>
        <v>28.833333333333332</v>
      </c>
      <c r="W41" s="78">
        <f>AVERAGEIF($E$5:$E$30,$E41,W$5:W$30)</f>
        <v>30</v>
      </c>
      <c r="X41" s="78">
        <f>AVERAGEIF($E$5:$E$30,$E41,X$5:X$30)</f>
        <v>29.349999999999998</v>
      </c>
      <c r="Y41" s="78">
        <f>AVERAGEIF($E$5:$E$30,$E41,Y$5:Y$30)</f>
        <v>30.150000000000002</v>
      </c>
      <c r="Z41" s="78">
        <f>AVERAGEIF($E$5:$E$30,$E41,Z$5:Z$30)</f>
        <v>29.2</v>
      </c>
      <c r="AA41" s="78">
        <f>AVERAGEIF($E$5:$E$30,$E41,AA$5:AA$30)</f>
        <v>27.060000000000002</v>
      </c>
      <c r="AB41" s="78">
        <f>AVERAGEIF($E$5:$E$30,$E41,AB$5:AB$30)</f>
        <v>28.599999999999998</v>
      </c>
      <c r="AC41" s="78">
        <f>AVERAGEIF($E$5:$E$30,$E41,AC$5:AC$30)</f>
        <v>30.5</v>
      </c>
      <c r="AD41" s="78">
        <f>AVERAGEIF($E$5:$E$30,$E41,AD$5:AD$30)</f>
        <v>31.4</v>
      </c>
      <c r="AE41" s="78">
        <f>AVERAGEIF($E$5:$E$30,$E41,AE$5:AE$30)</f>
        <v>32.4</v>
      </c>
      <c r="AF41" s="78">
        <f>AVERAGEIF($E$5:$E$30,$E41,AF$5:AF$30)</f>
        <v>31.9</v>
      </c>
      <c r="AG41" s="78">
        <f>AVERAGEIF($E$5:$E$30,$E41,AG$5:AG$30)</f>
        <v>32</v>
      </c>
      <c r="AH41" s="78">
        <f>AVERAGEIF($E$5:$E$30,$E41,AH$5:AH$30)</f>
        <v>31.9</v>
      </c>
      <c r="AI41" s="78">
        <f>AVERAGEIF($E$5:$E$30,$E41,AI$5:AI$30)</f>
        <v>23.3</v>
      </c>
      <c r="AJ41" s="78">
        <f>AVERAGEIF($E$5:$E$30,$E41,AJ$5:AJ$30)</f>
        <v>31.3</v>
      </c>
      <c r="AK41" s="78">
        <f>AVERAGEIF($E$5:$E$30,$E41,AK$5:AK$30)</f>
        <v>32.1</v>
      </c>
      <c r="AL41" s="78">
        <f>AVERAGEIF($E$5:$E$30,$E41,AL$5:AL$30)</f>
        <v>31.6</v>
      </c>
      <c r="AM41" s="78">
        <f>AVERAGEIF($E$5:$E$30,$E41,AM$5:AM$30)</f>
        <v>32.200000000000003</v>
      </c>
      <c r="AN41" s="78">
        <f>AVERAGEIF($E$5:$E$30,$E41,AN$5:AN$30)</f>
        <v>31.9</v>
      </c>
      <c r="AO41" s="78">
        <f>AVERAGEIF($E$5:$E$30,$E41,AO$5:AO$30)</f>
        <v>33.200000000000003</v>
      </c>
      <c r="AP41" s="78">
        <f>AVERAGEIF($E$5:$E$30,$E41,AP$5:AP$30)</f>
        <v>33</v>
      </c>
      <c r="AQ41" s="78">
        <f>AVERAGEIF($E$5:$E$30,$E41,AQ$5:AQ$30)</f>
        <v>32.5</v>
      </c>
      <c r="AR41" s="78">
        <f>AVERAGEIF($E$5:$E$30,$E41,AR$5:AR$30)</f>
        <v>31.9</v>
      </c>
      <c r="AS41" s="78">
        <f>AVERAGEIF($E$5:$E$30,$E41,AS$5:AS$30)</f>
        <v>31.4</v>
      </c>
      <c r="AT41" s="78">
        <f>AVERAGEIF($E$5:$E$30,$E41,AT$5:AT$30)</f>
        <v>31.2</v>
      </c>
      <c r="AU41" s="78">
        <f>AVERAGEIF($E$5:$E$30,$E41,AU$5:AU$30)</f>
        <v>31.6</v>
      </c>
      <c r="AV41" s="78">
        <f>AVERAGEIF($E$5:$E$30,$E41,AV$5:AV$30)</f>
        <v>31.7</v>
      </c>
      <c r="AW41" s="78">
        <f>AVERAGEIF($E$5:$E$30,$E41,AW$5:AW$30)</f>
        <v>31.6</v>
      </c>
      <c r="AX41" s="78">
        <f>AVERAGEIF($E$5:$E$30,$E41,AX$5:AX$30)</f>
        <v>29.8</v>
      </c>
      <c r="AY41" s="78">
        <f>AVERAGEIF($E$5:$E$30,$E41,AY$5:AY$30)</f>
        <v>29.5</v>
      </c>
      <c r="AZ41" s="78">
        <f>AVERAGEIF($E$5:$E$30,$E41,AZ$5:AZ$30)</f>
        <v>29.4</v>
      </c>
      <c r="BA41" s="78">
        <f>AVERAGEIF($E$5:$E$30,$E41,BA$5:BA$30)</f>
        <v>30.6</v>
      </c>
      <c r="BB41" s="78">
        <f>AVERAGEIF($E$5:$E$30,$E41,BB$5:BB$30)</f>
        <v>31.8</v>
      </c>
      <c r="BC41" s="78">
        <f>AVERAGEIF($E$5:$E$30,$E41,BC$5:BC$30)</f>
        <v>31.8</v>
      </c>
      <c r="BD41" s="103" t="s">
        <v>9</v>
      </c>
      <c r="BE41" s="73">
        <f>AVERAGEIF($E$5:$E$30,$E41,BE$5:BE$30)</f>
        <v>0.96769282344294927</v>
      </c>
      <c r="BF41" s="73" t="e">
        <f>AVERAGEIF($E$5:$E$30,$E41,BF$5:BF$30)</f>
        <v>#DIV/0!</v>
      </c>
      <c r="BG41" s="73">
        <f>AVERAGEIF($E$5:$E$30,$E41,BG$5:BG$30)</f>
        <v>1</v>
      </c>
      <c r="BH41" s="73">
        <f>AVERAGEIF($E$5:$E$30,$E41,BH$5:BH$30)</f>
        <v>0.98287440904290546</v>
      </c>
      <c r="BI41" s="73">
        <f>AVERAGEIF($E$5:$E$30,$E41,BI$5:BI$30)</f>
        <v>0.99367001818443512</v>
      </c>
      <c r="BJ41" s="73">
        <f>AVERAGEIF($E$5:$E$30,$E41,BJ$5:BJ$30)</f>
        <v>0.98981028257406412</v>
      </c>
      <c r="BK41" s="73">
        <f>AVERAGEIF($E$5:$E$30,$E41,BK$5:BK$30)</f>
        <v>0.99533921939964076</v>
      </c>
      <c r="BL41" s="73">
        <f>AVERAGEIF($E$5:$E$30,$E41,BL$5:BL$30)</f>
        <v>0.97928873129910698</v>
      </c>
      <c r="BM41" s="73">
        <f>AVERAGEIF($E$5:$E$30,$E41,BM$5:BM$30)</f>
        <v>0.97898299861380389</v>
      </c>
      <c r="BN41" s="73">
        <f>AVERAGEIF($E$5:$E$30,$E41,BN$5:BN$30)</f>
        <v>1.0280037551765118</v>
      </c>
      <c r="BO41" s="73">
        <f>AVERAGEIF($E$5:$E$30,$E41,BO$5:BO$30)</f>
        <v>0.99641751173327464</v>
      </c>
      <c r="BP41" s="73">
        <f>AVERAGEIF($E$5:$E$30,$E41,BP$5:BP$30)</f>
        <v>1.0364707322831113</v>
      </c>
      <c r="BQ41" s="73">
        <f>AVERAGEIF($E$5:$E$30,$E41,BQ$5:BQ$30)</f>
        <v>1.0140535154732444</v>
      </c>
      <c r="BR41" s="73">
        <f>AVERAGEIF($E$5:$E$30,$E41,BR$5:BR$30)</f>
        <v>1.0416250863150156</v>
      </c>
      <c r="BS41" s="73">
        <f>AVERAGEIF($E$5:$E$30,$E41,BS$5:BS$30)</f>
        <v>1.0124602194432459</v>
      </c>
      <c r="BT41" s="73">
        <f>AVERAGEIF($E$5:$E$30,$E41,BT$5:BT$30)</f>
        <v>0.93863319184179628</v>
      </c>
      <c r="BU41" s="73">
        <f>AVERAGEIF($E$5:$E$30,$E41,BU$5:BU$30)</f>
        <v>0.9901533331469673</v>
      </c>
      <c r="BV41" s="73">
        <f>AVERAGEIF($E$5:$E$30,$E41,BV$5:BV$30)</f>
        <v>1.0352717796061064</v>
      </c>
      <c r="BW41" s="73">
        <f>AVERAGEIF($E$5:$E$30,$E41,BW$5:BW$30)</f>
        <v>1.0228013029315961</v>
      </c>
      <c r="BX41" s="73">
        <f>AVERAGEIF($E$5:$E$30,$E41,BX$5:BX$30)</f>
        <v>1.0553745928338762</v>
      </c>
      <c r="BY41" s="73">
        <f>AVERAGEIF($E$5:$E$30,$E41,BY$5:BY$30)</f>
        <v>1.0390879478827362</v>
      </c>
      <c r="BZ41" s="73">
        <f>AVERAGEIF($E$5:$E$30,$E41,BZ$5:BZ$30)</f>
        <v>1.0423452768729642</v>
      </c>
      <c r="CA41" s="73">
        <f>AVERAGEIF($E$5:$E$30,$E41,CA$5:CA$30)</f>
        <v>1.0390879478827362</v>
      </c>
      <c r="CB41" s="73">
        <f>AVERAGEIF($E$5:$E$30,$E41,CB$5:CB$30)</f>
        <v>0.75895765472312704</v>
      </c>
      <c r="CC41" s="73">
        <f>AVERAGEIF($E$5:$E$30,$E41,CC$5:CC$30)</f>
        <v>1.0195439739413681</v>
      </c>
      <c r="CD41" s="73">
        <f>AVERAGEIF($E$5:$E$30,$E41,CD$5:CD$30)</f>
        <v>1.0456026058631922</v>
      </c>
      <c r="CE41" s="73">
        <f>AVERAGEIF($E$5:$E$30,$E41,CE$5:CE$30)</f>
        <v>1.0293159609120521</v>
      </c>
      <c r="CF41" s="73">
        <f>AVERAGEIF($E$5:$E$30,$E41,CF$5:CF$30)</f>
        <v>1.0488599348534202</v>
      </c>
      <c r="CG41" s="73">
        <f>AVERAGEIF($E$5:$E$30,$E41,CG$5:CG$30)</f>
        <v>1.0390879478827362</v>
      </c>
      <c r="CH41" s="73">
        <f>AVERAGEIF($E$5:$E$30,$E41,CH$5:CH$30)</f>
        <v>1.0814332247557004</v>
      </c>
      <c r="CI41" s="73">
        <f>AVERAGEIF($E$5:$E$30,$E41,CI$5:CI$30)</f>
        <v>1.0749185667752443</v>
      </c>
      <c r="CJ41" s="73">
        <f>AVERAGEIF($E$5:$E$30,$E41,CJ$5:CJ$30)</f>
        <v>1.0586319218241043</v>
      </c>
      <c r="CK41" s="73">
        <f>AVERAGEIF($E$5:$E$30,$E41,CK$5:CK$30)</f>
        <v>1.0390879478827362</v>
      </c>
      <c r="CL41" s="73">
        <f>AVERAGEIF($E$5:$E$30,$E41,CL$5:CL$30)</f>
        <v>1.0228013029315961</v>
      </c>
      <c r="CM41" s="73">
        <f>AVERAGEIF($E$5:$E$30,$E41,CM$5:CM$30)</f>
        <v>1.0162866449511401</v>
      </c>
      <c r="CN41" s="73">
        <f>AVERAGEIF($E$5:$E$30,$E41,CN$5:CN$30)</f>
        <v>1.0293159609120521</v>
      </c>
      <c r="CO41" s="73">
        <f>AVERAGEIF($E$5:$E$30,$E41,CO$5:CO$30)</f>
        <v>1.0325732899022801</v>
      </c>
      <c r="CP41" s="73">
        <f>AVERAGEIF($E$5:$E$30,$E41,CP$5:CP$30)</f>
        <v>1.0293159609120521</v>
      </c>
      <c r="CQ41" s="73">
        <f>AVERAGEIF($E$5:$E$30,$E41,CQ$5:CQ$30)</f>
        <v>0.97068403908794798</v>
      </c>
      <c r="CR41" s="73">
        <f>AVERAGEIF($E$5:$E$30,$E41,CR$5:CR$30)</f>
        <v>0.96091205211726383</v>
      </c>
      <c r="CS41" s="73">
        <f>AVERAGEIF($E$5:$E$30,$E41,CS$5:CS$30)</f>
        <v>0.95765472312703581</v>
      </c>
      <c r="CT41" s="73">
        <f>AVERAGEIF($E$5:$E$30,$E41,CT$5:CT$30)</f>
        <v>0.9967426710097721</v>
      </c>
      <c r="CU41" s="73">
        <f>AVERAGEIF($E$5:$E$30,$E41,CU$5:CU$30)</f>
        <v>1.0358306188925082</v>
      </c>
      <c r="CV41" s="73">
        <f>AVERAGEIF($E$5:$E$30,$E41,CV$5:CV$30)</f>
        <v>1.0358306188925082</v>
      </c>
      <c r="CW41" s="76"/>
    </row>
    <row r="42" spans="1:101" ht="14.25" customHeight="1">
      <c r="A42" s="113"/>
      <c r="E42" s="93"/>
      <c r="I42" s="93"/>
      <c r="J42" s="227">
        <f t="array" ref="J42">_xlfn.STDEV.P(IF($E$5:$E$30=$E41,J$5:J$30))</f>
        <v>1.1040330107786129</v>
      </c>
      <c r="K42" s="72" t="s">
        <v>11</v>
      </c>
      <c r="L42" s="81">
        <f t="array" ref="L42">_xlfn.STDEV.P(IF($E$5:$E$30=$E41,L$5:L$30))</f>
        <v>1.1254628677422762</v>
      </c>
      <c r="M42" s="81">
        <f t="array" ref="M42">_xlfn.STDEV.P(IF($E$5:$E$30=$E41,M$5:M$30))</f>
        <v>0</v>
      </c>
      <c r="N42" s="81">
        <f t="array" ref="N42">_xlfn.STDEV.P(IF($E$5:$E$30=$E41,N$5:N$30))</f>
        <v>1.1040330107786129</v>
      </c>
      <c r="O42" s="81">
        <f t="array" ref="O42">_xlfn.STDEV.P(IF($E$5:$E$30=$E41,O$5:O$30))</f>
        <v>1.014341603646862</v>
      </c>
      <c r="P42" s="81">
        <f t="array" ref="P42">_xlfn.STDEV.P(IF($E$5:$E$30=$E41,P$5:P$30))</f>
        <v>1.1601005703529899</v>
      </c>
      <c r="Q42" s="81">
        <f t="array" ref="Q42">_xlfn.STDEV.P(IF($E$5:$E$30=$E41,Q$5:Q$30))</f>
        <v>1.4580237766694111</v>
      </c>
      <c r="R42" s="81">
        <f t="array" ref="R42">_xlfn.STDEV.P(IF($E$5:$E$30=$E41,R$5:R$30))</f>
        <v>1.219289410544792</v>
      </c>
      <c r="S42" s="81">
        <f t="array" ref="S42">_xlfn.STDEV.P(IF($E$5:$E$30=$E41,S$5:S$30))</f>
        <v>1.1382247385975914</v>
      </c>
      <c r="T42" s="81">
        <f t="array" ref="T42">_xlfn.STDEV.P(IF($E$5:$E$30=$E41,T$5:T$30))</f>
        <v>1.3399834161494519</v>
      </c>
      <c r="U42" s="81">
        <f t="array" ref="U42">_xlfn.STDEV.P(IF($E$5:$E$30=$E41,U$5:U$30))</f>
        <v>1.4044571905188139</v>
      </c>
      <c r="V42" s="81">
        <f t="array" ref="V42">_xlfn.STDEV.P(IF($E$5:$E$30=$E41,V$5:V$30))</f>
        <v>1.3876438864332432</v>
      </c>
      <c r="W42" s="81">
        <f t="array" ref="W42">_xlfn.STDEV.P(IF($E$5:$E$30=$E41,W$5:W$30))</f>
        <v>1.5099668870541503</v>
      </c>
      <c r="X42" s="81">
        <f t="array" ref="X42">_xlfn.STDEV.P(IF($E$5:$E$30=$E41,X$5:X$30))</f>
        <v>1.5337861650177969</v>
      </c>
      <c r="Y42" s="81">
        <f t="array" ref="Y42">_xlfn.STDEV.P(IF($E$5:$E$30=$E41,Y$5:Y$30))</f>
        <v>1.6550427990437788</v>
      </c>
      <c r="Z42" s="81">
        <f t="array" ref="Z42">_xlfn.STDEV.P(IF($E$5:$E$30=$E41,Z$5:Z$30))</f>
        <v>11.004342577162687</v>
      </c>
      <c r="AA42" s="81">
        <f t="array" ref="AA42">_xlfn.STDEV.P(IF($E$5:$E$30=$E41,AA$5:AA$30))</f>
        <v>10.187696828364425</v>
      </c>
      <c r="AB42" s="81">
        <f t="array" ref="AB42">_xlfn.STDEV.P(IF($E$5:$E$30=$E41,AB$5:AB$30))</f>
        <v>13.545930098085634</v>
      </c>
      <c r="AC42" s="81">
        <f t="array" ref="AC42">_xlfn.STDEV.P(IF($E$5:$E$30=$E41,AC$5:AC$30))</f>
        <v>15.315868677072592</v>
      </c>
      <c r="AD42" s="81">
        <f t="array" ref="AD42">_xlfn.STDEV.P(IF($E$5:$E$30=$E41,AD$5:AD$30))</f>
        <v>11.702089082248898</v>
      </c>
      <c r="AE42" s="81">
        <f t="array" ref="AE42">_xlfn.STDEV.P(IF($E$5:$E$30=$E41,AE$5:AE$30))</f>
        <v>12.074767078498864</v>
      </c>
      <c r="AF42" s="81">
        <f t="array" ref="AF42">_xlfn.STDEV.P(IF($E$5:$E$30=$E41,AF$5:AF$30))</f>
        <v>11.888428080373883</v>
      </c>
      <c r="AG42" s="81">
        <f t="array" ref="AG42">_xlfn.STDEV.P(IF($E$5:$E$30=$E41,AG$5:AG$30))</f>
        <v>11.925695879998878</v>
      </c>
      <c r="AH42" s="81">
        <f t="array" ref="AH42">_xlfn.STDEV.P(IF($E$5:$E$30=$E41,AH$5:AH$30))</f>
        <v>11.888428080373883</v>
      </c>
      <c r="AI42" s="81">
        <f t="array" ref="AI42">_xlfn.STDEV.P(IF($E$5:$E$30=$E41,AI$5:AI$30))</f>
        <v>8.6833973126241837</v>
      </c>
      <c r="AJ42" s="81">
        <f t="array" ref="AJ42">_xlfn.STDEV.P(IF($E$5:$E$30=$E41,AJ$5:AJ$30))</f>
        <v>11.664821282623905</v>
      </c>
      <c r="AK42" s="81">
        <f t="array" ref="AK42">_xlfn.STDEV.P(IF($E$5:$E$30=$E41,AK$5:AK$30))</f>
        <v>11.962963679623877</v>
      </c>
      <c r="AL42" s="81">
        <f t="array" ref="AL42">_xlfn.STDEV.P(IF($E$5:$E$30=$E41,AL$5:AL$30))</f>
        <v>11.776624681498893</v>
      </c>
      <c r="AM42" s="81">
        <f t="array" ref="AM42">_xlfn.STDEV.P(IF($E$5:$E$30=$E41,AM$5:AM$30))</f>
        <v>12.000231479248873</v>
      </c>
      <c r="AN42" s="81">
        <f t="array" ref="AN42">_xlfn.STDEV.P(IF($E$5:$E$30=$E41,AN$5:AN$30))</f>
        <v>11.888428080373883</v>
      </c>
      <c r="AO42" s="81">
        <f t="array" ref="AO42">_xlfn.STDEV.P(IF($E$5:$E$30=$E41,AO$5:AO$30))</f>
        <v>12.372909475498837</v>
      </c>
      <c r="AP42" s="81">
        <f t="array" ref="AP42">_xlfn.STDEV.P(IF($E$5:$E$30=$E41,AP$5:AP$30))</f>
        <v>12.298373876248844</v>
      </c>
      <c r="AQ42" s="81">
        <f t="array" ref="AQ42">_xlfn.STDEV.P(IF($E$5:$E$30=$E41,AQ$5:AQ$30))</f>
        <v>12.112034878123861</v>
      </c>
      <c r="AR42" s="81">
        <f t="array" ref="AR42">_xlfn.STDEV.P(IF($E$5:$E$30=$E41,AR$5:AR$30))</f>
        <v>11.888428080373883</v>
      </c>
      <c r="AS42" s="81">
        <f t="array" ref="AS42">_xlfn.STDEV.P(IF($E$5:$E$30=$E41,AS$5:AS$30))</f>
        <v>11.702089082248898</v>
      </c>
      <c r="AT42" s="81">
        <f t="array" ref="AT42">_xlfn.STDEV.P(IF($E$5:$E$30=$E41,AT$5:AT$30))</f>
        <v>11.627553482998906</v>
      </c>
      <c r="AU42" s="81">
        <f t="array" ref="AU42">_xlfn.STDEV.P(IF($E$5:$E$30=$E41,AU$5:AU$30))</f>
        <v>11.776624681498893</v>
      </c>
      <c r="AV42" s="81">
        <f t="array" ref="AV42">_xlfn.STDEV.P(IF($E$5:$E$30=$E41,AV$5:AV$30))</f>
        <v>11.813892481123888</v>
      </c>
      <c r="AW42" s="81">
        <f t="array" ref="AW42">_xlfn.STDEV.P(IF($E$5:$E$30=$E41,AW$5:AW$30))</f>
        <v>11.776624681498893</v>
      </c>
      <c r="AX42" s="81">
        <f t="array" ref="AX42">_xlfn.STDEV.P(IF($E$5:$E$30=$E41,AX$5:AX$30))</f>
        <v>11.105804288248956</v>
      </c>
      <c r="AY42" s="81">
        <f t="array" ref="AY42">_xlfn.STDEV.P(IF($E$5:$E$30=$E41,AY$5:AY$30))</f>
        <v>10.994000889373966</v>
      </c>
      <c r="AZ42" s="81">
        <f t="array" ref="AZ42">_xlfn.STDEV.P(IF($E$5:$E$30=$E41,AZ$5:AZ$30))</f>
        <v>10.956733089748971</v>
      </c>
      <c r="BA42" s="81">
        <f t="array" ref="BA42">_xlfn.STDEV.P(IF($E$5:$E$30=$E41,BA$5:BA$30))</f>
        <v>11.403946685248929</v>
      </c>
      <c r="BB42" s="81">
        <f t="array" ref="BB42">_xlfn.STDEV.P(IF($E$5:$E$30=$E41,BB$5:BB$30))</f>
        <v>11.851160280748886</v>
      </c>
      <c r="BC42" s="81">
        <f t="array" ref="BC42">_xlfn.STDEV.P(IF($E$5:$E$30=$E41,BC$5:BC$30))</f>
        <v>11.851160280748886</v>
      </c>
      <c r="BD42" s="104" t="s">
        <v>11</v>
      </c>
      <c r="BE42" s="74">
        <f t="array" ref="BE42">_xlfn.STDEV.P(IF($E$5:$E$30=$E41,BE$5:BE$30))</f>
        <v>6.913911237765539E-3</v>
      </c>
      <c r="BF42" s="74" t="e">
        <f t="array" ref="BF42">_xlfn.STDEV.P(IF($E$5:$E$30=$E41,BF$5:BF$30))</f>
        <v>#DIV/0!</v>
      </c>
      <c r="BG42" s="74">
        <f t="array" ref="BG42">_xlfn.STDEV.P(IF($E$5:$E$30=$E41,BG$5:BG$30))</f>
        <v>0</v>
      </c>
      <c r="BH42" s="74">
        <f t="array" ref="BH42">_xlfn.STDEV.P(IF($E$5:$E$30=$E41,BH$5:BH$30))</f>
        <v>1.2090479208206698E-2</v>
      </c>
      <c r="BI42" s="74">
        <f t="array" ref="BI42">_xlfn.STDEV.P(IF($E$5:$E$30=$E41,BI$5:BI$30))</f>
        <v>1.332717868879618E-2</v>
      </c>
      <c r="BJ42" s="74">
        <f t="array" ref="BJ42">_xlfn.STDEV.P(IF($E$5:$E$30=$E41,BJ$5:BJ$30))</f>
        <v>1.9446744670230557E-2</v>
      </c>
      <c r="BK42" s="74">
        <f t="array" ref="BK42">_xlfn.STDEV.P(IF($E$5:$E$30=$E41,BK$5:BK$30))</f>
        <v>1.651730963630705E-2</v>
      </c>
      <c r="BL42" s="74">
        <f t="array" ref="BL42">_xlfn.STDEV.P(IF($E$5:$E$30=$E41,BL$5:BL$30))</f>
        <v>1.5387603153004532E-2</v>
      </c>
      <c r="BM42" s="74">
        <f t="array" ref="BM42">_xlfn.STDEV.P(IF($E$5:$E$30=$E41,BM$5:BM$30))</f>
        <v>1.5380279169569902E-2</v>
      </c>
      <c r="BN42" s="74">
        <f t="array" ref="BN42">_xlfn.STDEV.P(IF($E$5:$E$30=$E41,BN$5:BN$30))</f>
        <v>1.9696461753389037E-2</v>
      </c>
      <c r="BO42" s="74">
        <f t="array" ref="BO42">_xlfn.STDEV.P(IF($E$5:$E$30=$E41,BO$5:BO$30))</f>
        <v>2.5092814221894064E-2</v>
      </c>
      <c r="BP42" s="74">
        <f t="array" ref="BP42">_xlfn.STDEV.P(IF($E$5:$E$30=$E41,BP$5:BP$30))</f>
        <v>1.9724277739955828E-2</v>
      </c>
      <c r="BQ42" s="74">
        <f t="array" ref="BQ42">_xlfn.STDEV.P(IF($E$5:$E$30=$E41,BQ$5:BQ$30))</f>
        <v>2.5360280688967864E-2</v>
      </c>
      <c r="BR42" s="74">
        <f t="array" ref="BR42">_xlfn.STDEV.P(IF($E$5:$E$30=$E41,BR$5:BR$30))</f>
        <v>2.8947880454921429E-2</v>
      </c>
      <c r="BS42" s="74">
        <f t="array" ref="BS42">_xlfn.STDEV.P(IF($E$5:$E$30=$E41,BS$5:BS$30))</f>
        <v>2.6484735460124788E-2</v>
      </c>
      <c r="BT42" s="74">
        <f t="array" ref="BT42">_xlfn.STDEV.P(IF($E$5:$E$30=$E41,BT$5:BT$30))</f>
        <v>3.1184320914760099E-2</v>
      </c>
      <c r="BU42" s="74">
        <f t="array" ref="BU42">_xlfn.STDEV.P(IF($E$5:$E$30=$E41,BU$5:BU$30))</f>
        <v>2.1345808135163253E-2</v>
      </c>
      <c r="BV42" s="74">
        <f t="array" ref="BV42">_xlfn.STDEV.P(IF($E$5:$E$30=$E41,BV$5:BV$30))</f>
        <v>3.8298499542547541E-2</v>
      </c>
      <c r="BW42" s="74">
        <f t="array" ref="BW42">_xlfn.STDEV.P(IF($E$5:$E$30=$E41,BW$5:BW$30))</f>
        <v>0</v>
      </c>
      <c r="BX42" s="74">
        <f t="array" ref="BX42">_xlfn.STDEV.P(IF($E$5:$E$30=$E41,BX$5:BX$30))</f>
        <v>0</v>
      </c>
      <c r="BY42" s="74">
        <f t="array" ref="BY42">_xlfn.STDEV.P(IF($E$5:$E$30=$E41,BY$5:BY$30))</f>
        <v>0</v>
      </c>
      <c r="BZ42" s="74">
        <f t="array" ref="BZ42">_xlfn.STDEV.P(IF($E$5:$E$30=$E41,BZ$5:BZ$30))</f>
        <v>0</v>
      </c>
      <c r="CA42" s="74">
        <f t="array" ref="CA42">_xlfn.STDEV.P(IF($E$5:$E$30=$E41,CA$5:CA$30))</f>
        <v>0</v>
      </c>
      <c r="CB42" s="74">
        <f t="array" ref="CB42">_xlfn.STDEV.P(IF($E$5:$E$30=$E41,CB$5:CB$30))</f>
        <v>0</v>
      </c>
      <c r="CC42" s="74">
        <f t="array" ref="CC42">_xlfn.STDEV.P(IF($E$5:$E$30=$E41,CC$5:CC$30))</f>
        <v>0</v>
      </c>
      <c r="CD42" s="74">
        <f t="array" ref="CD42">_xlfn.STDEV.P(IF($E$5:$E$30=$E41,CD$5:CD$30))</f>
        <v>0</v>
      </c>
      <c r="CE42" s="74">
        <f t="array" ref="CE42">_xlfn.STDEV.P(IF($E$5:$E$30=$E41,CE$5:CE$30))</f>
        <v>0</v>
      </c>
      <c r="CF42" s="74">
        <f t="array" ref="CF42">_xlfn.STDEV.P(IF($E$5:$E$30=$E41,CF$5:CF$30))</f>
        <v>0</v>
      </c>
      <c r="CG42" s="74">
        <f t="array" ref="CG42">_xlfn.STDEV.P(IF($E$5:$E$30=$E41,CG$5:CG$30))</f>
        <v>0</v>
      </c>
      <c r="CH42" s="74">
        <f t="array" ref="CH42">_xlfn.STDEV.P(IF($E$5:$E$30=$E41,CH$5:CH$30))</f>
        <v>0</v>
      </c>
      <c r="CI42" s="74">
        <f t="array" ref="CI42">_xlfn.STDEV.P(IF($E$5:$E$30=$E41,CI$5:CI$30))</f>
        <v>0</v>
      </c>
      <c r="CJ42" s="74">
        <f t="array" ref="CJ42">_xlfn.STDEV.P(IF($E$5:$E$30=$E41,CJ$5:CJ$30))</f>
        <v>0</v>
      </c>
      <c r="CK42" s="74">
        <f t="array" ref="CK42">_xlfn.STDEV.P(IF($E$5:$E$30=$E41,CK$5:CK$30))</f>
        <v>0</v>
      </c>
      <c r="CL42" s="74">
        <f t="array" ref="CL42">_xlfn.STDEV.P(IF($E$5:$E$30=$E41,CL$5:CL$30))</f>
        <v>0</v>
      </c>
      <c r="CM42" s="74">
        <f t="array" ref="CM42">_xlfn.STDEV.P(IF($E$5:$E$30=$E41,CM$5:CM$30))</f>
        <v>0</v>
      </c>
      <c r="CN42" s="74">
        <f t="array" ref="CN42">_xlfn.STDEV.P(IF($E$5:$E$30=$E41,CN$5:CN$30))</f>
        <v>0</v>
      </c>
      <c r="CO42" s="74">
        <f t="array" ref="CO42">_xlfn.STDEV.P(IF($E$5:$E$30=$E41,CO$5:CO$30))</f>
        <v>0</v>
      </c>
      <c r="CP42" s="74">
        <f t="array" ref="CP42">_xlfn.STDEV.P(IF($E$5:$E$30=$E41,CP$5:CP$30))</f>
        <v>0</v>
      </c>
      <c r="CQ42" s="74">
        <f t="array" ref="CQ42">_xlfn.STDEV.P(IF($E$5:$E$30=$E41,CQ$5:CQ$30))</f>
        <v>0</v>
      </c>
      <c r="CR42" s="74">
        <f t="array" ref="CR42">_xlfn.STDEV.P(IF($E$5:$E$30=$E41,CR$5:CR$30))</f>
        <v>0</v>
      </c>
      <c r="CS42" s="74">
        <f t="array" ref="CS42">_xlfn.STDEV.P(IF($E$5:$E$30=$E41,CS$5:CS$30))</f>
        <v>0</v>
      </c>
      <c r="CT42" s="74">
        <f t="array" ref="CT42">_xlfn.STDEV.P(IF($E$5:$E$30=$E41,CT$5:CT$30))</f>
        <v>0</v>
      </c>
      <c r="CU42" s="74">
        <f t="array" ref="CU42">_xlfn.STDEV.P(IF($E$5:$E$30=$E41,CU$5:CU$30))</f>
        <v>0</v>
      </c>
      <c r="CV42" s="74">
        <f t="array" ref="CV42">_xlfn.STDEV.P(IF($E$5:$E$30=$E41,CV$5:CV$30))</f>
        <v>0</v>
      </c>
      <c r="CW42" s="76"/>
    </row>
    <row r="43" spans="1:101" ht="15">
      <c r="A43" s="113"/>
      <c r="E43" s="52"/>
      <c r="I43" s="52"/>
    </row>
    <row r="44" spans="1:101" ht="14.25" customHeight="1">
      <c r="A44" s="113"/>
      <c r="E44" s="118" t="str">
        <f>'FIG6 Groups'!C9</f>
        <v>MIA PaCa-2 - CP-PTX Combo</v>
      </c>
      <c r="I44" s="118" t="str">
        <f>E44</f>
        <v>MIA PaCa-2 - CP-PTX Combo</v>
      </c>
      <c r="J44" s="227">
        <f>AVERAGEIF($E$5:$E$30,$E44,J$5:J$30)</f>
        <v>27.76</v>
      </c>
      <c r="K44" s="72" t="s">
        <v>9</v>
      </c>
      <c r="L44" s="78">
        <f>AVERAGEIF($E$5:$E$30,$E44,L$5:L$30)</f>
        <v>27.820000000000004</v>
      </c>
      <c r="M44" s="78" t="e">
        <f>AVERAGEIF($E$5:$E$30,$E44,M$5:M$30)</f>
        <v>#DIV/0!</v>
      </c>
      <c r="N44" s="78">
        <f>AVERAGEIF($E$5:$E$30,$E44,N$5:N$30)</f>
        <v>27.76</v>
      </c>
      <c r="O44" s="78">
        <f>AVERAGEIF($E$5:$E$30,$E44,O$5:O$30)</f>
        <v>26.839999999999996</v>
      </c>
      <c r="P44" s="78">
        <f>AVERAGEIF($E$5:$E$30,$E44,P$5:P$30)</f>
        <v>27.4</v>
      </c>
      <c r="Q44" s="78">
        <f>AVERAGEIF($E$5:$E$30,$E44,Q$5:Q$30)</f>
        <v>27.8</v>
      </c>
      <c r="R44" s="78">
        <f>AVERAGEIF($E$5:$E$30,$E44,R$5:R$30)</f>
        <v>26.939999999999998</v>
      </c>
      <c r="S44" s="78">
        <f>AVERAGEIF($E$5:$E$30,$E44,S$5:S$30)</f>
        <v>27.28</v>
      </c>
      <c r="T44" s="78">
        <f>AVERAGEIF($E$5:$E$30,$E44,T$5:T$30)</f>
        <v>27.32</v>
      </c>
      <c r="U44" s="78">
        <f>AVERAGEIF($E$5:$E$30,$E44,U$5:U$30)</f>
        <v>29.020000000000003</v>
      </c>
      <c r="V44" s="78">
        <f>AVERAGEIF($E$5:$E$30,$E44,V$5:V$30)</f>
        <v>28.1</v>
      </c>
      <c r="W44" s="78">
        <f>AVERAGEIF($E$5:$E$30,$E44,W$5:W$30)</f>
        <v>29.340000000000003</v>
      </c>
      <c r="X44" s="78">
        <f>AVERAGEIF($E$5:$E$30,$E44,X$5:X$30)</f>
        <v>28.72</v>
      </c>
      <c r="Y44" s="78">
        <f>AVERAGEIF($E$5:$E$30,$E44,Y$5:Y$30)</f>
        <v>29.359999999999996</v>
      </c>
      <c r="Z44" s="78">
        <f>AVERAGEIF($E$5:$E$30,$E44,Z$5:Z$30)</f>
        <v>28.939999999999998</v>
      </c>
      <c r="AA44" s="78">
        <f>AVERAGEIF($E$5:$E$30,$E44,AA$5:AA$30)</f>
        <v>27.18</v>
      </c>
      <c r="AB44" s="78">
        <f>AVERAGEIF($E$5:$E$30,$E44,AB$5:AB$30)</f>
        <v>28.339999999999996</v>
      </c>
      <c r="AC44" s="78">
        <f>AVERAGEIF($E$5:$E$30,$E44,AC$5:AC$30)</f>
        <v>29.5</v>
      </c>
      <c r="AD44" s="78">
        <f>AVERAGEIF($E$5:$E$30,$E44,AD$5:AD$30)</f>
        <v>28.859999999999996</v>
      </c>
      <c r="AE44" s="78">
        <f>AVERAGEIF($E$5:$E$30,$E44,AE$5:AE$30)</f>
        <v>27.48</v>
      </c>
      <c r="AF44" s="78">
        <f>AVERAGEIF($E$5:$E$30,$E44,AF$5:AF$30)</f>
        <v>29.060000000000002</v>
      </c>
      <c r="AG44" s="78">
        <f>AVERAGEIF($E$5:$E$30,$E44,AG$5:AG$30)</f>
        <v>29.940000000000005</v>
      </c>
      <c r="AH44" s="78">
        <f>AVERAGEIF($E$5:$E$30,$E44,AH$5:AH$30)</f>
        <v>30.060000000000002</v>
      </c>
      <c r="AI44" s="78">
        <f>AVERAGEIF($E$5:$E$30,$E44,AI$5:AI$30)</f>
        <v>25.36</v>
      </c>
      <c r="AJ44" s="78">
        <f>AVERAGEIF($E$5:$E$30,$E44,AJ$5:AJ$30)</f>
        <v>29.8</v>
      </c>
      <c r="AK44" s="78">
        <f>AVERAGEIF($E$5:$E$30,$E44,AK$5:AK$30)</f>
        <v>30.160000000000004</v>
      </c>
      <c r="AL44" s="78">
        <f>AVERAGEIF($E$5:$E$30,$E44,AL$5:AL$30)</f>
        <v>30.28</v>
      </c>
      <c r="AM44" s="78">
        <f>AVERAGEIF($E$5:$E$30,$E44,AM$5:AM$30)</f>
        <v>30.419999999999998</v>
      </c>
      <c r="AN44" s="78">
        <f>AVERAGEIF($E$5:$E$30,$E44,AN$5:AN$30)</f>
        <v>29.8</v>
      </c>
      <c r="AO44" s="78">
        <f>AVERAGEIF($E$5:$E$30,$E44,AO$5:AO$30)</f>
        <v>30.133333333333336</v>
      </c>
      <c r="AP44" s="78">
        <f>AVERAGEIF($E$5:$E$30,$E44,AP$5:AP$30)</f>
        <v>30.133333333333336</v>
      </c>
      <c r="AQ44" s="78">
        <f>AVERAGEIF($E$5:$E$30,$E44,AQ$5:AQ$30)</f>
        <v>30.3</v>
      </c>
      <c r="AR44" s="78">
        <f>AVERAGEIF($E$5:$E$30,$E44,AR$5:AR$30)</f>
        <v>29.733333333333331</v>
      </c>
      <c r="AS44" s="78">
        <f>AVERAGEIF($E$5:$E$30,$E44,AS$5:AS$30)</f>
        <v>29.466666666666669</v>
      </c>
      <c r="AT44" s="78">
        <f>AVERAGEIF($E$5:$E$30,$E44,AT$5:AT$30)</f>
        <v>29.5</v>
      </c>
      <c r="AU44" s="78">
        <f>AVERAGEIF($E$5:$E$30,$E44,AU$5:AU$30)</f>
        <v>30.099999999999998</v>
      </c>
      <c r="AV44" s="78">
        <f>AVERAGEIF($E$5:$E$30,$E44,AV$5:AV$30)</f>
        <v>30.033333333333331</v>
      </c>
      <c r="AW44" s="78">
        <f>AVERAGEIF($E$5:$E$30,$E44,AW$5:AW$30)</f>
        <v>29.900000000000002</v>
      </c>
      <c r="AX44" s="78">
        <f>AVERAGEIF($E$5:$E$30,$E44,AX$5:AX$30)</f>
        <v>29.399999999999995</v>
      </c>
      <c r="AY44" s="78">
        <f>AVERAGEIF($E$5:$E$30,$E44,AY$5:AY$30)</f>
        <v>29.35</v>
      </c>
      <c r="AZ44" s="78">
        <f>AVERAGEIF($E$5:$E$30,$E44,AZ$5:AZ$30)</f>
        <v>29.950000000000003</v>
      </c>
      <c r="BA44" s="78">
        <f>AVERAGEIF($E$5:$E$30,$E44,BA$5:BA$30)</f>
        <v>29.549999999999997</v>
      </c>
      <c r="BB44" s="78">
        <f>AVERAGEIF($E$5:$E$30,$E44,BB$5:BB$30)</f>
        <v>30</v>
      </c>
      <c r="BC44" s="78">
        <f>AVERAGEIF($E$5:$E$30,$E44,BC$5:BC$30)</f>
        <v>30.35</v>
      </c>
      <c r="BD44" s="103" t="s">
        <v>9</v>
      </c>
      <c r="BE44" s="73">
        <f>AVERAGEIF($E$5:$E$30,$E44,BE$5:BE$30)</f>
        <v>1.002023722677875</v>
      </c>
      <c r="BF44" s="73" t="e">
        <f>AVERAGEIF($E$5:$E$30,$E44,BF$5:BF$30)</f>
        <v>#DIV/0!</v>
      </c>
      <c r="BG44" s="73">
        <f>AVERAGEIF($E$5:$E$30,$E44,BG$5:BG$30)</f>
        <v>1</v>
      </c>
      <c r="BH44" s="73">
        <f>AVERAGEIF($E$5:$E$30,$E44,BH$5:BH$30)</f>
        <v>0.96684873187030929</v>
      </c>
      <c r="BI44" s="73">
        <f>AVERAGEIF($E$5:$E$30,$E44,BI$5:BI$30)</f>
        <v>0.98747036888478268</v>
      </c>
      <c r="BJ44" s="73">
        <f>AVERAGEIF($E$5:$E$30,$E44,BJ$5:BJ$30)</f>
        <v>1.0021925531398941</v>
      </c>
      <c r="BK44" s="73">
        <f>AVERAGEIF($E$5:$E$30,$E44,BK$5:BK$30)</f>
        <v>0.97107975599034901</v>
      </c>
      <c r="BL44" s="73">
        <f>AVERAGEIF($E$5:$E$30,$E44,BL$5:BL$30)</f>
        <v>0.98334979484363172</v>
      </c>
      <c r="BM44" s="73">
        <f>AVERAGEIF($E$5:$E$30,$E44,BM$5:BM$30)</f>
        <v>0.98525138525350953</v>
      </c>
      <c r="BN44" s="73">
        <f>AVERAGEIF($E$5:$E$30,$E44,BN$5:BN$30)</f>
        <v>1.0452787081763442</v>
      </c>
      <c r="BO44" s="73">
        <f>AVERAGEIF($E$5:$E$30,$E44,BO$5:BO$30)</f>
        <v>1.0124885376529047</v>
      </c>
      <c r="BP44" s="73">
        <f>AVERAGEIF($E$5:$E$30,$E44,BP$5:BP$30)</f>
        <v>1.0572610421716249</v>
      </c>
      <c r="BQ44" s="73">
        <f>AVERAGEIF($E$5:$E$30,$E44,BQ$5:BQ$30)</f>
        <v>1.0346183373521913</v>
      </c>
      <c r="BR44" s="73">
        <f>AVERAGEIF($E$5:$E$30,$E44,BR$5:BR$30)</f>
        <v>1.0579736172563048</v>
      </c>
      <c r="BS44" s="73">
        <f>AVERAGEIF($E$5:$E$30,$E44,BS$5:BS$30)</f>
        <v>1.043045092677477</v>
      </c>
      <c r="BT44" s="73">
        <f>AVERAGEIF($E$5:$E$30,$E44,BT$5:BT$30)</f>
        <v>0.98155161898221732</v>
      </c>
      <c r="BU44" s="73">
        <f>AVERAGEIF($E$5:$E$30,$E44,BU$5:BU$30)</f>
        <v>1.0225682643393996</v>
      </c>
      <c r="BV44" s="73">
        <f>AVERAGEIF($E$5:$E$30,$E44,BV$5:BV$30)</f>
        <v>1.0644870972328886</v>
      </c>
      <c r="BW44" s="73">
        <f>AVERAGEIF($E$5:$E$30,$E44,BW$5:BW$30)</f>
        <v>1.041759591816571</v>
      </c>
      <c r="BX44" s="73">
        <f>AVERAGEIF($E$5:$E$30,$E44,BX$5:BX$30)</f>
        <v>0.9976442417752015</v>
      </c>
      <c r="BY44" s="73">
        <f>AVERAGEIF($E$5:$E$30,$E44,BY$5:BY$30)</f>
        <v>1.0496007040213056</v>
      </c>
      <c r="BZ44" s="73">
        <f>AVERAGEIF($E$5:$E$30,$E44,BZ$5:BZ$30)</f>
        <v>1.0790290278510628</v>
      </c>
      <c r="CA44" s="73">
        <f>AVERAGEIF($E$5:$E$30,$E44,CA$5:CA$30)</f>
        <v>1.0841160381554356</v>
      </c>
      <c r="CB44" s="73">
        <f>AVERAGEIF($E$5:$E$30,$E44,CB$5:CB$30)</f>
        <v>0.91399904882019567</v>
      </c>
      <c r="CC44" s="73">
        <f>AVERAGEIF($E$5:$E$30,$E44,CC$5:CC$30)</f>
        <v>1.0752139630761848</v>
      </c>
      <c r="CD44" s="73">
        <f>AVERAGEIF($E$5:$E$30,$E44,CD$5:CD$30)</f>
        <v>1.0883218890802682</v>
      </c>
      <c r="CE44" s="73">
        <f>AVERAGEIF($E$5:$E$30,$E44,CE$5:CE$30)</f>
        <v>1.0926834699657078</v>
      </c>
      <c r="CF44" s="73">
        <f>AVERAGEIF($E$5:$E$30,$E44,CF$5:CF$30)</f>
        <v>1.0975730432999713</v>
      </c>
      <c r="CG44" s="73">
        <f>AVERAGEIF($E$5:$E$30,$E44,CG$5:CG$30)</f>
        <v>1.102570482927117</v>
      </c>
      <c r="CH44" s="73">
        <f>AVERAGEIF($E$5:$E$30,$E44,CH$5:CH$30)</f>
        <v>1.1227656699357051</v>
      </c>
      <c r="CI44" s="73">
        <f>AVERAGEIF($E$5:$E$30,$E44,CI$5:CI$30)</f>
        <v>1.122691927973579</v>
      </c>
      <c r="CJ44" s="73">
        <f>AVERAGEIF($E$5:$E$30,$E44,CJ$5:CJ$30)</f>
        <v>1.1292144002412912</v>
      </c>
      <c r="CK44" s="73">
        <f>AVERAGEIF($E$5:$E$30,$E44,CK$5:CK$30)</f>
        <v>1.10811311636718</v>
      </c>
      <c r="CL44" s="73">
        <f>AVERAGEIF($E$5:$E$30,$E44,CL$5:CL$30)</f>
        <v>1.097490591005255</v>
      </c>
      <c r="CM44" s="73">
        <f>AVERAGEIF($E$5:$E$30,$E44,CM$5:CM$30)</f>
        <v>1.098396409518424</v>
      </c>
      <c r="CN44" s="73">
        <f>AVERAGEIF($E$5:$E$30,$E44,CN$5:CN$30)</f>
        <v>1.1209798982665826</v>
      </c>
      <c r="CO44" s="73">
        <f>AVERAGEIF($E$5:$E$30,$E44,CO$5:CO$30)</f>
        <v>1.1178766035408063</v>
      </c>
      <c r="CP44" s="73">
        <f>AVERAGEIF($E$5:$E$30,$E44,CP$5:CP$30)</f>
        <v>1.1135258106459889</v>
      </c>
      <c r="CQ44" s="73">
        <f>AVERAGEIF($E$5:$E$30,$E44,CQ$5:CQ$30)</f>
        <v>1.095141913793882</v>
      </c>
      <c r="CR44" s="73">
        <f>AVERAGEIF($E$5:$E$30,$E44,CR$5:CR$30)</f>
        <v>1.1288862014040468</v>
      </c>
      <c r="CS44" s="73">
        <f>AVERAGEIF($E$5:$E$30,$E44,CS$5:CS$30)</f>
        <v>1.1519379387646747</v>
      </c>
      <c r="CT44" s="73">
        <f>AVERAGEIF($E$5:$E$30,$E44,CT$5:CT$30)</f>
        <v>1.1365701138575894</v>
      </c>
      <c r="CU44" s="73">
        <f>AVERAGEIF($E$5:$E$30,$E44,CU$5:CU$30)</f>
        <v>1.1533611586337089</v>
      </c>
      <c r="CV44" s="73">
        <f>AVERAGEIF($E$5:$E$30,$E44,CV$5:CV$30)</f>
        <v>1.1666420860126245</v>
      </c>
      <c r="CW44" s="76"/>
    </row>
    <row r="45" spans="1:101" ht="14.25" customHeight="1">
      <c r="A45" s="113"/>
      <c r="E45" s="118"/>
      <c r="I45" s="93"/>
      <c r="J45" s="227">
        <f t="array" ref="J45">_xlfn.STDEV.P(IF($E$5:$E$30=$E44,J$5:J$30))</f>
        <v>1.723484841824841</v>
      </c>
      <c r="K45" s="72" t="s">
        <v>11</v>
      </c>
      <c r="L45" s="81">
        <f t="array" ref="L45">_xlfn.STDEV.P(IF($E$5:$E$30=$E44,L$5:L$30))</f>
        <v>1.8159295140505862</v>
      </c>
      <c r="M45" s="81">
        <f t="array" ref="M45">_xlfn.STDEV.P(IF($E$5:$E$30=$E44,M$5:M$30))</f>
        <v>0</v>
      </c>
      <c r="N45" s="81">
        <f t="array" ref="N45">_xlfn.STDEV.P(IF($E$5:$E$30=$E44,N$5:N$30))</f>
        <v>1.723484841824841</v>
      </c>
      <c r="O45" s="81">
        <f t="array" ref="O45">_xlfn.STDEV.P(IF($E$5:$E$30=$E44,O$5:O$30))</f>
        <v>1.7059894489708902</v>
      </c>
      <c r="P45" s="81">
        <f t="array" ref="P45">_xlfn.STDEV.P(IF($E$5:$E$30=$E44,P$5:P$30))</f>
        <v>1.597498043817269</v>
      </c>
      <c r="Q45" s="81">
        <f t="array" ref="Q45">_xlfn.STDEV.P(IF($E$5:$E$30=$E44,Q$5:Q$30))</f>
        <v>1.5270887335056866</v>
      </c>
      <c r="R45" s="81">
        <f t="array" ref="R45">_xlfn.STDEV.P(IF($E$5:$E$30=$E44,R$5:R$30))</f>
        <v>1.5344054223053303</v>
      </c>
      <c r="S45" s="81">
        <f t="array" ref="S45">_xlfn.STDEV.P(IF($E$5:$E$30=$E44,S$5:S$30))</f>
        <v>1.5367498169838831</v>
      </c>
      <c r="T45" s="81">
        <f t="array" ref="T45">_xlfn.STDEV.P(IF($E$5:$E$30=$E44,T$5:T$30))</f>
        <v>1.3044539087296263</v>
      </c>
      <c r="U45" s="81">
        <f t="array" ref="U45">_xlfn.STDEV.P(IF($E$5:$E$30=$E44,U$5:U$30))</f>
        <v>1.8977881862842336</v>
      </c>
      <c r="V45" s="81">
        <f t="array" ref="V45">_xlfn.STDEV.P(IF($E$5:$E$30=$E44,V$5:V$30))</f>
        <v>1.6637307474468335</v>
      </c>
      <c r="W45" s="81">
        <f t="array" ref="W45">_xlfn.STDEV.P(IF($E$5:$E$30=$E44,W$5:W$30))</f>
        <v>1.7083325203250106</v>
      </c>
      <c r="X45" s="81">
        <f t="array" ref="X45">_xlfn.STDEV.P(IF($E$5:$E$30=$E44,X$5:X$30))</f>
        <v>1.8170305445974204</v>
      </c>
      <c r="Y45" s="81">
        <f t="array" ref="Y45">_xlfn.STDEV.P(IF($E$5:$E$30=$E44,Y$5:Y$30))</f>
        <v>1.7408044117591153</v>
      </c>
      <c r="Z45" s="81">
        <f t="array" ref="Z45">_xlfn.STDEV.P(IF($E$5:$E$30=$E44,Z$5:Z$30))</f>
        <v>1.5932357013323553</v>
      </c>
      <c r="AA45" s="81">
        <f t="array" ref="AA45">_xlfn.STDEV.P(IF($E$5:$E$30=$E44,AA$5:AA$30))</f>
        <v>0.68818602136341034</v>
      </c>
      <c r="AB45" s="81">
        <f t="array" ref="AB45">_xlfn.STDEV.P(IF($E$5:$E$30=$E44,AB$5:AB$30))</f>
        <v>1.0190191362285599</v>
      </c>
      <c r="AC45" s="81">
        <f t="array" ref="AC45">_xlfn.STDEV.P(IF($E$5:$E$30=$E44,AC$5:AC$30))</f>
        <v>1.0217631819555844</v>
      </c>
      <c r="AD45" s="81">
        <f t="array" ref="AD45">_xlfn.STDEV.P(IF($E$5:$E$30=$E44,AD$5:AD$30))</f>
        <v>0.87315519811772302</v>
      </c>
      <c r="AE45" s="81">
        <f t="array" ref="AE45">_xlfn.STDEV.P(IF($E$5:$E$30=$E44,AE$5:AE$30))</f>
        <v>2.6753691334094447</v>
      </c>
      <c r="AF45" s="81">
        <f t="array" ref="AF45">_xlfn.STDEV.P(IF($E$5:$E$30=$E44,AF$5:AF$30))</f>
        <v>0.7709734106958559</v>
      </c>
      <c r="AG45" s="81">
        <f t="array" ref="AG45">_xlfn.STDEV.P(IF($E$5:$E$30=$E44,AG$5:AG$30))</f>
        <v>2.1685017869487688</v>
      </c>
      <c r="AH45" s="81">
        <f t="array" ref="AH45">_xlfn.STDEV.P(IF($E$5:$E$30=$E44,AH$5:AH$30))</f>
        <v>1.8150482087261492</v>
      </c>
      <c r="AI45" s="81">
        <f t="array" ref="AI45">_xlfn.STDEV.P(IF($E$5:$E$30=$E44,AI$5:AI$30))</f>
        <v>5.8301286435206565</v>
      </c>
      <c r="AJ45" s="81">
        <f t="array" ref="AJ45">_xlfn.STDEV.P(IF($E$5:$E$30=$E44,AJ$5:AJ$30))</f>
        <v>2.336664289109585</v>
      </c>
      <c r="AK45" s="81">
        <f t="array" ref="AK45">_xlfn.STDEV.P(IF($E$5:$E$30=$E44,AK$5:AK$30))</f>
        <v>1.8682612237050802</v>
      </c>
      <c r="AL45" s="81">
        <f t="array" ref="AL45">_xlfn.STDEV.P(IF($E$5:$E$30=$E44,AL$5:AL$30))</f>
        <v>1.9041008376659043</v>
      </c>
      <c r="AM45" s="81">
        <f t="array" ref="AM45">_xlfn.STDEV.P(IF($E$5:$E$30=$E44,AM$5:AM$30))</f>
        <v>1.9518196638009366</v>
      </c>
      <c r="AN45" s="81">
        <f t="array" ref="AN45">_xlfn.STDEV.P(IF($E$5:$E$30=$E44,AN$5:AN$30))</f>
        <v>11.938609634291591</v>
      </c>
      <c r="AO45" s="81">
        <f t="array" ref="AO45">_xlfn.STDEV.P(IF($E$5:$E$30=$E44,AO$5:AO$30))</f>
        <v>14.775032994887017</v>
      </c>
      <c r="AP45" s="81">
        <f t="array" ref="AP45">_xlfn.STDEV.P(IF($E$5:$E$30=$E44,AP$5:AP$30))</f>
        <v>14.772596251167226</v>
      </c>
      <c r="AQ45" s="81">
        <f t="array" ref="AQ45">_xlfn.STDEV.P(IF($E$5:$E$30=$E44,AQ$5:AQ$30))</f>
        <v>14.856163703998417</v>
      </c>
      <c r="AR45" s="81">
        <f t="array" ref="AR45">_xlfn.STDEV.P(IF($E$5:$E$30=$E44,AR$5:AR$30))</f>
        <v>14.580617270883977</v>
      </c>
      <c r="AS45" s="81">
        <f t="array" ref="AS45">_xlfn.STDEV.P(IF($E$5:$E$30=$E44,AS$5:AS$30))</f>
        <v>14.440692504170288</v>
      </c>
      <c r="AT45" s="81">
        <f t="array" ref="AT45">_xlfn.STDEV.P(IF($E$5:$E$30=$E44,AT$5:AT$30))</f>
        <v>14.464853957091997</v>
      </c>
      <c r="AU45" s="81">
        <f t="array" ref="AU45">_xlfn.STDEV.P(IF($E$5:$E$30=$E44,AU$5:AU$30))</f>
        <v>14.753657173731538</v>
      </c>
      <c r="AV45" s="81">
        <f t="array" ref="AV45">_xlfn.STDEV.P(IF($E$5:$E$30=$E44,AV$5:AV$30))</f>
        <v>14.718885827398758</v>
      </c>
      <c r="AW45" s="81">
        <f t="array" ref="AW45">_xlfn.STDEV.P(IF($E$5:$E$30=$E44,AW$5:AW$30))</f>
        <v>14.659413357975822</v>
      </c>
      <c r="AX45" s="81">
        <f t="array" ref="AX45">_xlfn.STDEV.P(IF($E$5:$E$30=$E44,AX$5:AX$30))</f>
        <v>14.418404904842976</v>
      </c>
      <c r="AY45" s="81">
        <f t="array" ref="AY45">_xlfn.STDEV.P(IF($E$5:$E$30=$E44,AY$5:AY$30))</f>
        <v>14.396888552739442</v>
      </c>
      <c r="AZ45" s="81">
        <f t="array" ref="AZ45">_xlfn.STDEV.P(IF($E$5:$E$30=$E44,AZ$5:AZ$30))</f>
        <v>14.690459489069768</v>
      </c>
      <c r="BA45" s="81">
        <f t="array" ref="BA45">_xlfn.STDEV.P(IF($E$5:$E$30=$E44,BA$5:BA$30))</f>
        <v>14.494743874936184</v>
      </c>
      <c r="BB45" s="81">
        <f t="array" ref="BB45">_xlfn.STDEV.P(IF($E$5:$E$30=$E44,BB$5:BB$30))</f>
        <v>14.703605000135171</v>
      </c>
      <c r="BC45" s="81">
        <f t="array" ref="BC45">_xlfn.STDEV.P(IF($E$5:$E$30=$E44,BC$5:BC$30))</f>
        <v>14.872471213621495</v>
      </c>
      <c r="BD45" s="104" t="s">
        <v>11</v>
      </c>
      <c r="BE45" s="74">
        <f t="array" ref="BE45">_xlfn.STDEV.P(IF($E$5:$E$30=$E44,BE$5:BE$30))</f>
        <v>1.4946347297169399E-2</v>
      </c>
      <c r="BF45" s="74" t="e">
        <f t="array" ref="BF45">_xlfn.STDEV.P(IF($E$5:$E$30=$E44,BF$5:BF$30))</f>
        <v>#DIV/0!</v>
      </c>
      <c r="BG45" s="74">
        <f t="array" ref="BG45">_xlfn.STDEV.P(IF($E$5:$E$30=$E44,BG$5:BG$30))</f>
        <v>0</v>
      </c>
      <c r="BH45" s="74">
        <f t="array" ref="BH45">_xlfn.STDEV.P(IF($E$5:$E$30=$E44,BH$5:BH$30))</f>
        <v>1.3230365566300998E-2</v>
      </c>
      <c r="BI45" s="74">
        <f t="array" ref="BI45">_xlfn.STDEV.P(IF($E$5:$E$30=$E44,BI$5:BI$30))</f>
        <v>1.9276319045086695E-2</v>
      </c>
      <c r="BJ45" s="74">
        <f t="array" ref="BJ45">_xlfn.STDEV.P(IF($E$5:$E$30=$E44,BJ$5:BJ$30))</f>
        <v>2.4023999578648085E-2</v>
      </c>
      <c r="BK45" s="74">
        <f t="array" ref="BK45">_xlfn.STDEV.P(IF($E$5:$E$30=$E44,BK$5:BK$30))</f>
        <v>2.3430600199125521E-2</v>
      </c>
      <c r="BL45" s="74">
        <f t="array" ref="BL45">_xlfn.STDEV.P(IF($E$5:$E$30=$E44,BL$5:BL$30))</f>
        <v>2.3126169702029201E-2</v>
      </c>
      <c r="BM45" s="74">
        <f t="array" ref="BM45">_xlfn.STDEV.P(IF($E$5:$E$30=$E44,BM$5:BM$30))</f>
        <v>2.4831374291145694E-2</v>
      </c>
      <c r="BN45" s="74">
        <f t="array" ref="BN45">_xlfn.STDEV.P(IF($E$5:$E$30=$E44,BN$5:BN$30))</f>
        <v>1.2018793945758242E-2</v>
      </c>
      <c r="BO45" s="74">
        <f t="array" ref="BO45">_xlfn.STDEV.P(IF($E$5:$E$30=$E44,BO$5:BO$30))</f>
        <v>9.1029614491063525E-3</v>
      </c>
      <c r="BP45" s="74">
        <f t="array" ref="BP45">_xlfn.STDEV.P(IF($E$5:$E$30=$E44,BP$5:BP$30))</f>
        <v>1.2475215817221396E-2</v>
      </c>
      <c r="BQ45" s="74">
        <f t="array" ref="BQ45">_xlfn.STDEV.P(IF($E$5:$E$30=$E44,BQ$5:BQ$30))</f>
        <v>1.2451797314218783E-2</v>
      </c>
      <c r="BR45" s="74">
        <f t="array" ref="BR45">_xlfn.STDEV.P(IF($E$5:$E$30=$E44,BR$5:BR$30))</f>
        <v>1.5797139933465557E-2</v>
      </c>
      <c r="BS45" s="74">
        <f t="array" ref="BS45">_xlfn.STDEV.P(IF($E$5:$E$30=$E44,BS$5:BS$30))</f>
        <v>1.3653251722387323E-2</v>
      </c>
      <c r="BT45" s="74">
        <f t="array" ref="BT45">_xlfn.STDEV.P(IF($E$5:$E$30=$E44,BT$5:BT$30))</f>
        <v>4.1550270424715686E-2</v>
      </c>
      <c r="BU45" s="74">
        <f t="array" ref="BU45">_xlfn.STDEV.P(IF($E$5:$E$30=$E44,BU$5:BU$30))</f>
        <v>2.7400636917645587E-2</v>
      </c>
      <c r="BV45" s="74">
        <f t="array" ref="BV45">_xlfn.STDEV.P(IF($E$5:$E$30=$E44,BV$5:BV$30))</f>
        <v>2.9134886727876324E-2</v>
      </c>
      <c r="BW45" s="74">
        <f t="array" ref="BW45">_xlfn.STDEV.P(IF($E$5:$E$30=$E44,BW$5:BW$30))</f>
        <v>3.5646219435136108E-2</v>
      </c>
      <c r="BX45" s="74">
        <f t="array" ref="BX45">_xlfn.STDEV.P(IF($E$5:$E$30=$E44,BX$5:BX$30))</f>
        <v>0.13870384315490925</v>
      </c>
      <c r="BY45" s="74">
        <f t="array" ref="BY45">_xlfn.STDEV.P(IF($E$5:$E$30=$E44,BY$5:BY$30))</f>
        <v>4.9167398084729856E-2</v>
      </c>
      <c r="BZ45" s="74">
        <f t="array" ref="BZ45">_xlfn.STDEV.P(IF($E$5:$E$30=$E44,BZ$5:BZ$30))</f>
        <v>4.8583548351636759E-2</v>
      </c>
      <c r="CA45" s="74">
        <f t="array" ref="CA45">_xlfn.STDEV.P(IF($E$5:$E$30=$E44,CA$5:CA$30))</f>
        <v>4.8319515603753346E-2</v>
      </c>
      <c r="CB45" s="74">
        <f t="array" ref="CB45">_xlfn.STDEV.P(IF($E$5:$E$30=$E44,CB$5:CB$30))</f>
        <v>0.20095811570560093</v>
      </c>
      <c r="CC45" s="74">
        <f t="array" ref="CC45">_xlfn.STDEV.P(IF($E$5:$E$30=$E44,CC$5:CC$30))</f>
        <v>7.840697008853828E-2</v>
      </c>
      <c r="CD45" s="74">
        <f t="array" ref="CD45">_xlfn.STDEV.P(IF($E$5:$E$30=$E44,CD$5:CD$30))</f>
        <v>6.2573327090357317E-2</v>
      </c>
      <c r="CE45" s="74">
        <f t="array" ref="CE45">_xlfn.STDEV.P(IF($E$5:$E$30=$E44,CE$5:CE$30))</f>
        <v>6.4424879713768049E-2</v>
      </c>
      <c r="CF45" s="74">
        <f t="array" ref="CF45">_xlfn.STDEV.P(IF($E$5:$E$30=$E44,CF$5:CF$30))</f>
        <v>6.3289172965254215E-2</v>
      </c>
      <c r="CG45" s="74">
        <f t="array" ref="CG45">_xlfn.STDEV.P(IF($E$5:$E$30=$E44,CG$5:CG$30))</f>
        <v>6.9295155259111854E-2</v>
      </c>
      <c r="CH45" s="74">
        <f t="array" ref="CH45">_xlfn.STDEV.P(IF($E$5:$E$30=$E44,CH$5:CH$30))</f>
        <v>8.0867804596130854E-2</v>
      </c>
      <c r="CI45" s="74">
        <f t="array" ref="CI45">_xlfn.STDEV.P(IF($E$5:$E$30=$E44,CI$5:CI$30))</f>
        <v>7.864542397556204E-2</v>
      </c>
      <c r="CJ45" s="74">
        <f t="array" ref="CJ45">_xlfn.STDEV.P(IF($E$5:$E$30=$E44,CJ$5:CJ$30))</f>
        <v>8.4106170374365435E-2</v>
      </c>
      <c r="CK45" s="74">
        <f t="array" ref="CK45">_xlfn.STDEV.P(IF($E$5:$E$30=$E44,CK$5:CK$30))</f>
        <v>8.3871975394367318E-2</v>
      </c>
      <c r="CL45" s="74">
        <f t="array" ref="CL45">_xlfn.STDEV.P(IF($E$5:$E$30=$E44,CL$5:CL$30))</f>
        <v>6.8839390653034085E-2</v>
      </c>
      <c r="CM45" s="74">
        <f t="array" ref="CM45">_xlfn.STDEV.P(IF($E$5:$E$30=$E44,CM$5:CM$30))</f>
        <v>6.7767466686865313E-2</v>
      </c>
      <c r="CN45" s="74">
        <f t="array" ref="CN45">_xlfn.STDEV.P(IF($E$5:$E$30=$E44,CN$5:CN$30))</f>
        <v>7.0199735832562282E-2</v>
      </c>
      <c r="CO45" s="74">
        <f t="array" ref="CO45">_xlfn.STDEV.P(IF($E$5:$E$30=$E44,CO$5:CO$30))</f>
        <v>5.7757169791456606E-2</v>
      </c>
      <c r="CP45" s="74">
        <f t="array" ref="CP45">_xlfn.STDEV.P(IF($E$5:$E$30=$E44,CP$5:CP$30))</f>
        <v>7.1673587713077039E-2</v>
      </c>
      <c r="CQ45" s="74">
        <f t="array" ref="CQ45">_xlfn.STDEV.P(IF($E$5:$E$30=$E44,CQ$5:CQ$30))</f>
        <v>7.6132797106785652E-2</v>
      </c>
      <c r="CR45" s="74">
        <f t="array" ref="CR45">_xlfn.STDEV.P(IF($E$5:$E$30=$E44,CR$5:CR$30))</f>
        <v>7.6647395433897647E-2</v>
      </c>
      <c r="CS45" s="74">
        <f t="array" ref="CS45">_xlfn.STDEV.P(IF($E$5:$E$30=$E44,CS$5:CS$30))</f>
        <v>7.7311073093032867E-2</v>
      </c>
      <c r="CT45" s="74">
        <f t="array" ref="CT45">_xlfn.STDEV.P(IF($E$5:$E$30=$E44,CT$5:CT$30))</f>
        <v>7.6868621320276054E-2</v>
      </c>
      <c r="CU45" s="74">
        <f t="array" ref="CU45">_xlfn.STDEV.P(IF($E$5:$E$30=$E44,CU$5:CU$30))</f>
        <v>6.0077576544156575E-2</v>
      </c>
      <c r="CV45" s="74">
        <f t="array" ref="CV45">_xlfn.STDEV.P(IF($E$5:$E$30=$E44,CV$5:CV$30))</f>
        <v>5.4701787505161859E-2</v>
      </c>
      <c r="CW45" s="76"/>
    </row>
    <row r="46" spans="1:101" ht="15">
      <c r="A46" s="113"/>
      <c r="E46" s="118"/>
      <c r="I46" s="52"/>
    </row>
    <row r="47" spans="1:101" ht="14.25" customHeight="1">
      <c r="A47" s="113"/>
      <c r="E47" s="118" t="str">
        <f>'FIG6 Groups'!C10</f>
        <v>Not Included</v>
      </c>
      <c r="I47" s="118" t="str">
        <f>E47</f>
        <v>Not Included</v>
      </c>
      <c r="J47" s="227">
        <f>AVERAGEIF($E$5:$E$30,$E47,J$5:J$30)</f>
        <v>27.8</v>
      </c>
      <c r="K47" s="72" t="s">
        <v>9</v>
      </c>
      <c r="L47" s="78">
        <f>AVERAGEIF($E$5:$E$30,$E47,L$5:L$30)</f>
        <v>28.200000000000003</v>
      </c>
      <c r="M47" s="78" t="e">
        <f>AVERAGEIF($E$5:$E$30,$E47,M$5:M$30)</f>
        <v>#DIV/0!</v>
      </c>
      <c r="N47" s="78">
        <f>AVERAGEIF($E$5:$E$30,$E47,N$5:N$30)</f>
        <v>27.8</v>
      </c>
      <c r="O47" s="78">
        <f>AVERAGEIF($E$5:$E$30,$E47,O$5:O$30)</f>
        <v>27.1</v>
      </c>
      <c r="P47" s="78">
        <f>AVERAGEIF($E$5:$E$30,$E47,P$5:P$30)</f>
        <v>27.9</v>
      </c>
      <c r="Q47" s="78">
        <f>AVERAGEIF($E$5:$E$30,$E47,Q$5:Q$30)</f>
        <v>28.65</v>
      </c>
      <c r="R47" s="78">
        <f>AVERAGEIF($E$5:$E$30,$E47,R$5:R$30)</f>
        <v>28.35</v>
      </c>
      <c r="S47" s="78">
        <f>AVERAGEIF($E$5:$E$30,$E47,S$5:S$30)</f>
        <v>28.6</v>
      </c>
      <c r="T47" s="78">
        <f>AVERAGEIF($E$5:$E$30,$E47,T$5:T$30)</f>
        <v>29.05</v>
      </c>
      <c r="U47" s="78">
        <f>AVERAGEIF($E$5:$E$30,$E47,U$5:U$30)</f>
        <v>30.2</v>
      </c>
      <c r="V47" s="78">
        <f>AVERAGEIF($E$5:$E$30,$E47,V$5:V$30)</f>
        <v>29.299999999999997</v>
      </c>
      <c r="W47" s="78">
        <f>AVERAGEIF($E$5:$E$30,$E47,W$5:W$30)</f>
        <v>30.799999999999997</v>
      </c>
      <c r="X47" s="78" t="e">
        <f>AVERAGEIF($E$5:$E$30,$E47,X$5:X$30)</f>
        <v>#DIV/0!</v>
      </c>
      <c r="Y47" s="78" t="e">
        <f>AVERAGEIF($E$5:$E$30,$E47,Y$5:Y$30)</f>
        <v>#DIV/0!</v>
      </c>
      <c r="Z47" s="78" t="e">
        <f>AVERAGEIF($E$5:$E$30,$E47,Z$5:Z$30)</f>
        <v>#DIV/0!</v>
      </c>
      <c r="AA47" s="78" t="e">
        <f>AVERAGEIF($E$5:$E$30,$E47,AA$5:AA$30)</f>
        <v>#DIV/0!</v>
      </c>
      <c r="AB47" s="78" t="e">
        <f>AVERAGEIF($E$5:$E$30,$E47,AB$5:AB$30)</f>
        <v>#DIV/0!</v>
      </c>
      <c r="AC47" s="78" t="e">
        <f>AVERAGEIF($E$5:$E$30,$E47,AC$5:AC$30)</f>
        <v>#DIV/0!</v>
      </c>
      <c r="AD47" s="78" t="e">
        <f>AVERAGEIF($E$5:$E$30,$E47,AD$5:AD$30)</f>
        <v>#DIV/0!</v>
      </c>
      <c r="AE47" s="78" t="e">
        <f>AVERAGEIF($E$5:$E$30,$E47,AE$5:AE$30)</f>
        <v>#DIV/0!</v>
      </c>
      <c r="AF47" s="78" t="e">
        <f>AVERAGEIF($E$5:$E$30,$E47,AF$5:AF$30)</f>
        <v>#DIV/0!</v>
      </c>
      <c r="AG47" s="78" t="e">
        <f>AVERAGEIF($E$5:$E$30,$E47,AG$5:AG$30)</f>
        <v>#DIV/0!</v>
      </c>
      <c r="AH47" s="78" t="e">
        <f>AVERAGEIF($E$5:$E$30,$E47,AH$5:AH$30)</f>
        <v>#DIV/0!</v>
      </c>
      <c r="AI47" s="78" t="e">
        <f>AVERAGEIF($E$5:$E$30,$E47,AI$5:AI$30)</f>
        <v>#DIV/0!</v>
      </c>
      <c r="AJ47" s="78" t="e">
        <f>AVERAGEIF($E$5:$E$30,$E47,AJ$5:AJ$30)</f>
        <v>#DIV/0!</v>
      </c>
      <c r="AK47" s="78" t="e">
        <f>AVERAGEIF($E$5:$E$30,$E47,AK$5:AK$30)</f>
        <v>#DIV/0!</v>
      </c>
      <c r="AL47" s="78" t="e">
        <f>AVERAGEIF($E$5:$E$30,$E47,AL$5:AL$30)</f>
        <v>#DIV/0!</v>
      </c>
      <c r="AM47" s="78" t="e">
        <f>AVERAGEIF($E$5:$E$30,$E47,AM$5:AM$30)</f>
        <v>#DIV/0!</v>
      </c>
      <c r="AN47" s="78" t="e">
        <f>AVERAGEIF($E$5:$E$30,$E47,AN$5:AN$30)</f>
        <v>#DIV/0!</v>
      </c>
      <c r="AO47" s="78" t="e">
        <f>AVERAGEIF($E$5:$E$30,$E47,AO$5:AO$30)</f>
        <v>#DIV/0!</v>
      </c>
      <c r="AP47" s="78" t="e">
        <f>AVERAGEIF($E$5:$E$30,$E47,AP$5:AP$30)</f>
        <v>#DIV/0!</v>
      </c>
      <c r="AQ47" s="78" t="e">
        <f>AVERAGEIF($E$5:$E$30,$E47,AQ$5:AQ$30)</f>
        <v>#DIV/0!</v>
      </c>
      <c r="AR47" s="78" t="e">
        <f>AVERAGEIF($E$5:$E$30,$E47,AR$5:AR$30)</f>
        <v>#DIV/0!</v>
      </c>
      <c r="AS47" s="78" t="e">
        <f>AVERAGEIF($E$5:$E$30,$E47,AS$5:AS$30)</f>
        <v>#DIV/0!</v>
      </c>
      <c r="AT47" s="78" t="e">
        <f>AVERAGEIF($E$5:$E$30,$E47,AT$5:AT$30)</f>
        <v>#DIV/0!</v>
      </c>
      <c r="AU47" s="78" t="e">
        <f>AVERAGEIF($E$5:$E$30,$E47,AU$5:AU$30)</f>
        <v>#DIV/0!</v>
      </c>
      <c r="AV47" s="78" t="e">
        <f>AVERAGEIF($E$5:$E$30,$E47,AV$5:AV$30)</f>
        <v>#DIV/0!</v>
      </c>
      <c r="AW47" s="78" t="e">
        <f>AVERAGEIF($E$5:$E$30,$E47,AW$5:AW$30)</f>
        <v>#DIV/0!</v>
      </c>
      <c r="AX47" s="78" t="e">
        <f>AVERAGEIF($E$5:$E$30,$E47,AX$5:AX$30)</f>
        <v>#DIV/0!</v>
      </c>
      <c r="AY47" s="78" t="e">
        <f>AVERAGEIF($E$5:$E$30,$E47,AY$5:AY$30)</f>
        <v>#DIV/0!</v>
      </c>
      <c r="AZ47" s="78" t="e">
        <f>AVERAGEIF($E$5:$E$30,$E47,AZ$5:AZ$30)</f>
        <v>#DIV/0!</v>
      </c>
      <c r="BA47" s="78" t="e">
        <f>AVERAGEIF($E$5:$E$30,$E47,BA$5:BA$30)</f>
        <v>#DIV/0!</v>
      </c>
      <c r="BB47" s="78" t="e">
        <f>AVERAGEIF($E$5:$E$30,$E47,BB$5:BB$30)</f>
        <v>#DIV/0!</v>
      </c>
      <c r="BC47" s="78" t="e">
        <f>AVERAGEIF($E$5:$E$30,$E47,BC$5:BC$30)</f>
        <v>#DIV/0!</v>
      </c>
      <c r="BD47" s="103" t="s">
        <v>9</v>
      </c>
      <c r="BE47" s="73">
        <f>AVERAGEIF($E$5:$E$30,$E47,BE$5:BE$30)</f>
        <v>1.014388489208633</v>
      </c>
      <c r="BF47" s="73" t="e">
        <f>AVERAGEIF($E$5:$E$30,$E47,BF$5:BF$30)</f>
        <v>#DIV/0!</v>
      </c>
      <c r="BG47" s="73">
        <f>AVERAGEIF($E$5:$E$30,$E47,BG$5:BG$30)</f>
        <v>1</v>
      </c>
      <c r="BH47" s="73">
        <f>AVERAGEIF($E$5:$E$30,$E47,BH$5:BH$30)</f>
        <v>0.97482014388489213</v>
      </c>
      <c r="BI47" s="73">
        <f>AVERAGEIF($E$5:$E$30,$E47,BI$5:BI$30)</f>
        <v>1.0035971223021583</v>
      </c>
      <c r="BJ47" s="73">
        <f>AVERAGEIF($E$5:$E$30,$E47,BJ$5:BJ$30)</f>
        <v>1.0305755395683454</v>
      </c>
      <c r="BK47" s="73">
        <f>AVERAGEIF($E$5:$E$30,$E47,BK$5:BK$30)</f>
        <v>1.0197841726618706</v>
      </c>
      <c r="BL47" s="73">
        <f>AVERAGEIF($E$5:$E$30,$E47,BL$5:BL$30)</f>
        <v>1.028776978417266</v>
      </c>
      <c r="BM47" s="73">
        <f>AVERAGEIF($E$5:$E$30,$E47,BM$5:BM$30)</f>
        <v>1.0449640287769784</v>
      </c>
      <c r="BN47" s="73">
        <f>AVERAGEIF($E$5:$E$30,$E47,BN$5:BN$30)</f>
        <v>1.0863309352517985</v>
      </c>
      <c r="BO47" s="73">
        <f>AVERAGEIF($E$5:$E$30,$E47,BO$5:BO$30)</f>
        <v>1.053956834532374</v>
      </c>
      <c r="BP47" s="73">
        <f>AVERAGEIF($E$5:$E$30,$E47,BP$5:BP$30)</f>
        <v>1.1079136690647482</v>
      </c>
      <c r="BQ47" s="73" t="e">
        <f>AVERAGEIF($E$5:$E$30,$E47,BQ$5:BQ$30)</f>
        <v>#DIV/0!</v>
      </c>
      <c r="BR47" s="73" t="e">
        <f>AVERAGEIF($E$5:$E$30,$E47,BR$5:BR$30)</f>
        <v>#DIV/0!</v>
      </c>
      <c r="BS47" s="73" t="e">
        <f>AVERAGEIF($E$5:$E$30,$E47,BS$5:BS$30)</f>
        <v>#DIV/0!</v>
      </c>
      <c r="BT47" s="73" t="e">
        <f>AVERAGEIF($E$5:$E$30,$E47,BT$5:BT$30)</f>
        <v>#DIV/0!</v>
      </c>
      <c r="BU47" s="73" t="e">
        <f>AVERAGEIF($E$5:$E$30,$E47,BU$5:BU$30)</f>
        <v>#DIV/0!</v>
      </c>
      <c r="BV47" s="73" t="e">
        <f>AVERAGEIF($E$5:$E$30,$E47,BV$5:BV$30)</f>
        <v>#DIV/0!</v>
      </c>
      <c r="BW47" s="73" t="e">
        <f>AVERAGEIF($E$5:$E$30,$E47,BW$5:BW$30)</f>
        <v>#DIV/0!</v>
      </c>
      <c r="BX47" s="73" t="e">
        <f>AVERAGEIF($E$5:$E$30,$E47,BX$5:BX$30)</f>
        <v>#DIV/0!</v>
      </c>
      <c r="BY47" s="73" t="e">
        <f>AVERAGEIF($E$5:$E$30,$E47,BY$5:BY$30)</f>
        <v>#DIV/0!</v>
      </c>
      <c r="BZ47" s="73" t="e">
        <f>AVERAGEIF($E$5:$E$30,$E47,BZ$5:BZ$30)</f>
        <v>#DIV/0!</v>
      </c>
      <c r="CA47" s="73" t="e">
        <f>AVERAGEIF($E$5:$E$30,$E47,CA$5:CA$30)</f>
        <v>#DIV/0!</v>
      </c>
      <c r="CB47" s="73" t="e">
        <f>AVERAGEIF($E$5:$E$30,$E47,CB$5:CB$30)</f>
        <v>#DIV/0!</v>
      </c>
      <c r="CC47" s="73" t="e">
        <f>AVERAGEIF($E$5:$E$30,$E47,CC$5:CC$30)</f>
        <v>#DIV/0!</v>
      </c>
      <c r="CD47" s="73" t="e">
        <f>AVERAGEIF($E$5:$E$30,$E47,CD$5:CD$30)</f>
        <v>#DIV/0!</v>
      </c>
      <c r="CE47" s="73" t="e">
        <f>AVERAGEIF($E$5:$E$30,$E47,CE$5:CE$30)</f>
        <v>#DIV/0!</v>
      </c>
      <c r="CF47" s="73" t="e">
        <f>AVERAGEIF($E$5:$E$30,$E47,CF$5:CF$30)</f>
        <v>#DIV/0!</v>
      </c>
      <c r="CG47" s="73" t="e">
        <f>AVERAGEIF($E$5:$E$30,$E47,CG$5:CG$30)</f>
        <v>#DIV/0!</v>
      </c>
      <c r="CH47" s="73" t="e">
        <f>AVERAGEIF($E$5:$E$30,$E47,CH$5:CH$30)</f>
        <v>#DIV/0!</v>
      </c>
      <c r="CI47" s="73" t="e">
        <f>AVERAGEIF($E$5:$E$30,$E47,CI$5:CI$30)</f>
        <v>#DIV/0!</v>
      </c>
      <c r="CJ47" s="73" t="e">
        <f>AVERAGEIF($E$5:$E$30,$E47,CJ$5:CJ$30)</f>
        <v>#DIV/0!</v>
      </c>
      <c r="CK47" s="73" t="e">
        <f>AVERAGEIF($E$5:$E$30,$E47,CK$5:CK$30)</f>
        <v>#DIV/0!</v>
      </c>
      <c r="CL47" s="73" t="e">
        <f>AVERAGEIF($E$5:$E$30,$E47,CL$5:CL$30)</f>
        <v>#DIV/0!</v>
      </c>
      <c r="CM47" s="73" t="e">
        <f>AVERAGEIF($E$5:$E$30,$E47,CM$5:CM$30)</f>
        <v>#DIV/0!</v>
      </c>
      <c r="CN47" s="73" t="e">
        <f>AVERAGEIF($E$5:$E$30,$E47,CN$5:CN$30)</f>
        <v>#DIV/0!</v>
      </c>
      <c r="CO47" s="73" t="e">
        <f>AVERAGEIF($E$5:$E$30,$E47,CO$5:CO$30)</f>
        <v>#DIV/0!</v>
      </c>
      <c r="CP47" s="73" t="e">
        <f>AVERAGEIF($E$5:$E$30,$E47,CP$5:CP$30)</f>
        <v>#DIV/0!</v>
      </c>
      <c r="CQ47" s="73" t="e">
        <f>AVERAGEIF($E$5:$E$30,$E47,CQ$5:CQ$30)</f>
        <v>#DIV/0!</v>
      </c>
      <c r="CR47" s="73" t="e">
        <f>AVERAGEIF($E$5:$E$30,$E47,CR$5:CR$30)</f>
        <v>#DIV/0!</v>
      </c>
      <c r="CS47" s="73" t="e">
        <f>AVERAGEIF($E$5:$E$30,$E47,CS$5:CS$30)</f>
        <v>#DIV/0!</v>
      </c>
      <c r="CT47" s="73" t="e">
        <f>AVERAGEIF($E$5:$E$30,$E47,CT$5:CT$30)</f>
        <v>#DIV/0!</v>
      </c>
      <c r="CU47" s="73" t="e">
        <f>AVERAGEIF($E$5:$E$30,$E47,CU$5:CU$30)</f>
        <v>#DIV/0!</v>
      </c>
      <c r="CV47" s="73" t="e">
        <f>AVERAGEIF($E$5:$E$30,$E47,CV$5:CV$30)</f>
        <v>#DIV/0!</v>
      </c>
      <c r="CW47" s="76"/>
    </row>
    <row r="48" spans="1:101" ht="14.25" customHeight="1">
      <c r="A48" s="113"/>
      <c r="E48" s="118"/>
      <c r="I48" s="93"/>
      <c r="J48" s="227">
        <f t="array" ref="J48">_xlfn.STDEV.P(IF($E$5:$E$30=$E47,J$5:J$30))</f>
        <v>0</v>
      </c>
      <c r="K48" s="72" t="s">
        <v>11</v>
      </c>
      <c r="L48" s="81">
        <f t="array" ref="L48">_xlfn.STDEV.P(IF($E$5:$E$30=$E47,L$5:L$30))</f>
        <v>9.9999999999999645E-2</v>
      </c>
      <c r="M48" s="81">
        <f t="array" ref="M48">_xlfn.STDEV.P(IF($E$5:$E$30=$E47,M$5:M$30))</f>
        <v>0</v>
      </c>
      <c r="N48" s="81">
        <f t="array" ref="N48">_xlfn.STDEV.P(IF($E$5:$E$30=$E47,N$5:N$30))</f>
        <v>0</v>
      </c>
      <c r="O48" s="81">
        <f t="array" ref="O48">_xlfn.STDEV.P(IF($E$5:$E$30=$E47,O$5:O$30))</f>
        <v>0.5</v>
      </c>
      <c r="P48" s="81">
        <f t="array" ref="P48">_xlfn.STDEV.P(IF($E$5:$E$30=$E47,P$5:P$30))</f>
        <v>0.79999999999999893</v>
      </c>
      <c r="Q48" s="81">
        <f t="array" ref="Q48">_xlfn.STDEV.P(IF($E$5:$E$30=$E47,Q$5:Q$30))</f>
        <v>0.25</v>
      </c>
      <c r="R48" s="81">
        <f t="array" ref="R48">_xlfn.STDEV.P(IF($E$5:$E$30=$E47,R$5:R$30))</f>
        <v>0.75</v>
      </c>
      <c r="S48" s="81">
        <f t="array" ref="S48">_xlfn.STDEV.P(IF($E$5:$E$30=$E47,S$5:S$30))</f>
        <v>0.40000000000000036</v>
      </c>
      <c r="T48" s="81">
        <f t="array" ref="T48">_xlfn.STDEV.P(IF($E$5:$E$30=$E47,T$5:T$30))</f>
        <v>0.25</v>
      </c>
      <c r="U48" s="81">
        <f t="array" ref="U48">_xlfn.STDEV.P(IF($E$5:$E$30=$E47,U$5:U$30))</f>
        <v>0.30000000000000071</v>
      </c>
      <c r="V48" s="81">
        <f t="array" ref="V48">_xlfn.STDEV.P(IF($E$5:$E$30=$E47,V$5:V$30))</f>
        <v>9.9999999999999645E-2</v>
      </c>
      <c r="W48" s="81">
        <f t="array" ref="W48">_xlfn.STDEV.P(IF($E$5:$E$30=$E47,W$5:W$30))</f>
        <v>9.9999999999999645E-2</v>
      </c>
      <c r="X48" s="81">
        <f t="array" ref="X48">_xlfn.STDEV.P(IF($E$5:$E$30=$E47,X$5:X$30))</f>
        <v>0</v>
      </c>
      <c r="Y48" s="81">
        <f t="array" ref="Y48">_xlfn.STDEV.P(IF($E$5:$E$30=$E47,Y$5:Y$30))</f>
        <v>0</v>
      </c>
      <c r="Z48" s="81">
        <f t="array" ref="Z48">_xlfn.STDEV.P(IF($E$5:$E$30=$E47,Z$5:Z$30))</f>
        <v>0</v>
      </c>
      <c r="AA48" s="81">
        <f t="array" ref="AA48">_xlfn.STDEV.P(IF($E$5:$E$30=$E47,AA$5:AA$30))</f>
        <v>0</v>
      </c>
      <c r="AB48" s="81">
        <f t="array" ref="AB48">_xlfn.STDEV.P(IF($E$5:$E$30=$E47,AB$5:AB$30))</f>
        <v>0</v>
      </c>
      <c r="AC48" s="81">
        <f t="array" ref="AC48">_xlfn.STDEV.P(IF($E$5:$E$30=$E47,AC$5:AC$30))</f>
        <v>0</v>
      </c>
      <c r="AD48" s="81">
        <f t="array" ref="AD48">_xlfn.STDEV.P(IF($E$5:$E$30=$E47,AD$5:AD$30))</f>
        <v>0</v>
      </c>
      <c r="AE48" s="81">
        <f t="array" ref="AE48">_xlfn.STDEV.P(IF($E$5:$E$30=$E47,AE$5:AE$30))</f>
        <v>0</v>
      </c>
      <c r="AF48" s="81">
        <f t="array" ref="AF48">_xlfn.STDEV.P(IF($E$5:$E$30=$E47,AF$5:AF$30))</f>
        <v>0</v>
      </c>
      <c r="AG48" s="81">
        <f t="array" ref="AG48">_xlfn.STDEV.P(IF($E$5:$E$30=$E47,AG$5:AG$30))</f>
        <v>0</v>
      </c>
      <c r="AH48" s="81">
        <f t="array" ref="AH48">_xlfn.STDEV.P(IF($E$5:$E$30=$E47,AH$5:AH$30))</f>
        <v>0</v>
      </c>
      <c r="AI48" s="81">
        <f t="array" ref="AI48">_xlfn.STDEV.P(IF($E$5:$E$30=$E47,AI$5:AI$30))</f>
        <v>0</v>
      </c>
      <c r="AJ48" s="81">
        <f t="array" ref="AJ48">_xlfn.STDEV.P(IF($E$5:$E$30=$E47,AJ$5:AJ$30))</f>
        <v>0</v>
      </c>
      <c r="AK48" s="81">
        <f t="array" ref="AK48">_xlfn.STDEV.P(IF($E$5:$E$30=$E47,AK$5:AK$30))</f>
        <v>0</v>
      </c>
      <c r="AL48" s="81">
        <f t="array" ref="AL48">_xlfn.STDEV.P(IF($E$5:$E$30=$E47,AL$5:AL$30))</f>
        <v>0</v>
      </c>
      <c r="AM48" s="81">
        <f t="array" ref="AM48">_xlfn.STDEV.P(IF($E$5:$E$30=$E47,AM$5:AM$30))</f>
        <v>0</v>
      </c>
      <c r="AN48" s="81">
        <f t="array" ref="AN48">_xlfn.STDEV.P(IF($E$5:$E$30=$E47,AN$5:AN$30))</f>
        <v>0</v>
      </c>
      <c r="AO48" s="81">
        <f t="array" ref="AO48">_xlfn.STDEV.P(IF($E$5:$E$30=$E47,AO$5:AO$30))</f>
        <v>0</v>
      </c>
      <c r="AP48" s="81">
        <f t="array" ref="AP48">_xlfn.STDEV.P(IF($E$5:$E$30=$E47,AP$5:AP$30))</f>
        <v>0</v>
      </c>
      <c r="AQ48" s="81">
        <f t="array" ref="AQ48">_xlfn.STDEV.P(IF($E$5:$E$30=$E47,AQ$5:AQ$30))</f>
        <v>0</v>
      </c>
      <c r="AR48" s="81">
        <f t="array" ref="AR48">_xlfn.STDEV.P(IF($E$5:$E$30=$E47,AR$5:AR$30))</f>
        <v>0</v>
      </c>
      <c r="AS48" s="81">
        <f t="array" ref="AS48">_xlfn.STDEV.P(IF($E$5:$E$30=$E47,AS$5:AS$30))</f>
        <v>0</v>
      </c>
      <c r="AT48" s="81">
        <f t="array" ref="AT48">_xlfn.STDEV.P(IF($E$5:$E$30=$E47,AT$5:AT$30))</f>
        <v>0</v>
      </c>
      <c r="AU48" s="81">
        <f t="array" ref="AU48">_xlfn.STDEV.P(IF($E$5:$E$30=$E47,AU$5:AU$30))</f>
        <v>0</v>
      </c>
      <c r="AV48" s="81">
        <f t="array" ref="AV48">_xlfn.STDEV.P(IF($E$5:$E$30=$E47,AV$5:AV$30))</f>
        <v>0</v>
      </c>
      <c r="AW48" s="81">
        <f t="array" ref="AW48">_xlfn.STDEV.P(IF($E$5:$E$30=$E47,AW$5:AW$30))</f>
        <v>0</v>
      </c>
      <c r="AX48" s="81">
        <f t="array" ref="AX48">_xlfn.STDEV.P(IF($E$5:$E$30=$E47,AX$5:AX$30))</f>
        <v>0</v>
      </c>
      <c r="AY48" s="81">
        <f t="array" ref="AY48">_xlfn.STDEV.P(IF($E$5:$E$30=$E47,AY$5:AY$30))</f>
        <v>0</v>
      </c>
      <c r="AZ48" s="81">
        <f t="array" ref="AZ48">_xlfn.STDEV.P(IF($E$5:$E$30=$E47,AZ$5:AZ$30))</f>
        <v>0</v>
      </c>
      <c r="BA48" s="81">
        <f t="array" ref="BA48">_xlfn.STDEV.P(IF($E$5:$E$30=$E47,BA$5:BA$30))</f>
        <v>0</v>
      </c>
      <c r="BB48" s="81">
        <f t="array" ref="BB48">_xlfn.STDEV.P(IF($E$5:$E$30=$E47,BB$5:BB$30))</f>
        <v>0</v>
      </c>
      <c r="BC48" s="81">
        <f t="array" ref="BC48">_xlfn.STDEV.P(IF($E$5:$E$30=$E47,BC$5:BC$30))</f>
        <v>0</v>
      </c>
      <c r="BD48" s="104" t="s">
        <v>11</v>
      </c>
      <c r="BE48" s="74">
        <f t="array" ref="BE48">_xlfn.STDEV.P(IF($E$5:$E$30=$E47,BE$5:BE$30))</f>
        <v>3.597122302158362E-3</v>
      </c>
      <c r="BF48" s="74" t="e">
        <f t="array" ref="BF48">_xlfn.STDEV.P(IF($E$5:$E$30=$E47,BF$5:BF$30))</f>
        <v>#DIV/0!</v>
      </c>
      <c r="BG48" s="74">
        <f t="array" ref="BG48">_xlfn.STDEV.P(IF($E$5:$E$30=$E47,BG$5:BG$30))</f>
        <v>0</v>
      </c>
      <c r="BH48" s="74">
        <f t="array" ref="BH48">_xlfn.STDEV.P(IF($E$5:$E$30=$E47,BH$5:BH$30))</f>
        <v>1.7985611510791366E-2</v>
      </c>
      <c r="BI48" s="74">
        <f t="array" ref="BI48">_xlfn.STDEV.P(IF($E$5:$E$30=$E47,BI$5:BI$30))</f>
        <v>2.8776978417266175E-2</v>
      </c>
      <c r="BJ48" s="74">
        <f t="array" ref="BJ48">_xlfn.STDEV.P(IF($E$5:$E$30=$E47,BJ$5:BJ$30))</f>
        <v>8.9928057553957386E-3</v>
      </c>
      <c r="BK48" s="74">
        <f t="array" ref="BK48">_xlfn.STDEV.P(IF($E$5:$E$30=$E47,BK$5:BK$30))</f>
        <v>2.6978417266186994E-2</v>
      </c>
      <c r="BL48" s="74">
        <f t="array" ref="BL48">_xlfn.STDEV.P(IF($E$5:$E$30=$E47,BL$5:BL$30))</f>
        <v>1.4388489208633115E-2</v>
      </c>
      <c r="BM48" s="74">
        <f t="array" ref="BM48">_xlfn.STDEV.P(IF($E$5:$E$30=$E47,BM$5:BM$30))</f>
        <v>8.9928057553957386E-3</v>
      </c>
      <c r="BN48" s="74">
        <f t="array" ref="BN48">_xlfn.STDEV.P(IF($E$5:$E$30=$E47,BN$5:BN$30))</f>
        <v>1.0791366906474864E-2</v>
      </c>
      <c r="BO48" s="74">
        <f t="array" ref="BO48">_xlfn.STDEV.P(IF($E$5:$E$30=$E47,BO$5:BO$30))</f>
        <v>3.597122302158251E-3</v>
      </c>
      <c r="BP48" s="74">
        <f t="array" ref="BP48">_xlfn.STDEV.P(IF($E$5:$E$30=$E47,BP$5:BP$30))</f>
        <v>3.597122302158251E-3</v>
      </c>
      <c r="BQ48" s="74" t="e">
        <f t="array" ref="BQ48">_xlfn.STDEV.P(IF($E$5:$E$30=$E47,BQ$5:BQ$30))</f>
        <v>#DIV/0!</v>
      </c>
      <c r="BR48" s="74" t="e">
        <f t="array" ref="BR48">_xlfn.STDEV.P(IF($E$5:$E$30=$E47,BR$5:BR$30))</f>
        <v>#DIV/0!</v>
      </c>
      <c r="BS48" s="74" t="e">
        <f t="array" ref="BS48">_xlfn.STDEV.P(IF($E$5:$E$30=$E47,BS$5:BS$30))</f>
        <v>#DIV/0!</v>
      </c>
      <c r="BT48" s="74" t="e">
        <f t="array" ref="BT48">_xlfn.STDEV.P(IF($E$5:$E$30=$E47,BT$5:BT$30))</f>
        <v>#DIV/0!</v>
      </c>
      <c r="BU48" s="74" t="e">
        <f t="array" ref="BU48">_xlfn.STDEV.P(IF($E$5:$E$30=$E47,BU$5:BU$30))</f>
        <v>#DIV/0!</v>
      </c>
      <c r="BV48" s="74" t="e">
        <f t="array" ref="BV48">_xlfn.STDEV.P(IF($E$5:$E$30=$E47,BV$5:BV$30))</f>
        <v>#DIV/0!</v>
      </c>
      <c r="BW48" s="74" t="e">
        <f t="array" ref="BW48">_xlfn.STDEV.P(IF($E$5:$E$30=$E47,BW$5:BW$30))</f>
        <v>#DIV/0!</v>
      </c>
      <c r="BX48" s="74" t="e">
        <f t="array" ref="BX48">_xlfn.STDEV.P(IF($E$5:$E$30=$E47,BX$5:BX$30))</f>
        <v>#DIV/0!</v>
      </c>
      <c r="BY48" s="74" t="e">
        <f t="array" ref="BY48">_xlfn.STDEV.P(IF($E$5:$E$30=$E47,BY$5:BY$30))</f>
        <v>#DIV/0!</v>
      </c>
      <c r="BZ48" s="74" t="e">
        <f t="array" ref="BZ48">_xlfn.STDEV.P(IF($E$5:$E$30=$E47,BZ$5:BZ$30))</f>
        <v>#DIV/0!</v>
      </c>
      <c r="CA48" s="74" t="e">
        <f t="array" ref="CA48">_xlfn.STDEV.P(IF($E$5:$E$30=$E47,CA$5:CA$30))</f>
        <v>#DIV/0!</v>
      </c>
      <c r="CB48" s="74" t="e">
        <f t="array" ref="CB48">_xlfn.STDEV.P(IF($E$5:$E$30=$E47,CB$5:CB$30))</f>
        <v>#DIV/0!</v>
      </c>
      <c r="CC48" s="74" t="e">
        <f t="array" ref="CC48">_xlfn.STDEV.P(IF($E$5:$E$30=$E47,CC$5:CC$30))</f>
        <v>#DIV/0!</v>
      </c>
      <c r="CD48" s="74" t="e">
        <f t="array" ref="CD48">_xlfn.STDEV.P(IF($E$5:$E$30=$E47,CD$5:CD$30))</f>
        <v>#DIV/0!</v>
      </c>
      <c r="CE48" s="74" t="e">
        <f t="array" ref="CE48">_xlfn.STDEV.P(IF($E$5:$E$30=$E47,CE$5:CE$30))</f>
        <v>#DIV/0!</v>
      </c>
      <c r="CF48" s="74" t="e">
        <f t="array" ref="CF48">_xlfn.STDEV.P(IF($E$5:$E$30=$E47,CF$5:CF$30))</f>
        <v>#DIV/0!</v>
      </c>
      <c r="CG48" s="74" t="e">
        <f t="array" ref="CG48">_xlfn.STDEV.P(IF($E$5:$E$30=$E47,CG$5:CG$30))</f>
        <v>#DIV/0!</v>
      </c>
      <c r="CH48" s="74" t="e">
        <f t="array" ref="CH48">_xlfn.STDEV.P(IF($E$5:$E$30=$E47,CH$5:CH$30))</f>
        <v>#DIV/0!</v>
      </c>
      <c r="CI48" s="74" t="e">
        <f t="array" ref="CI48">_xlfn.STDEV.P(IF($E$5:$E$30=$E47,CI$5:CI$30))</f>
        <v>#DIV/0!</v>
      </c>
      <c r="CJ48" s="74" t="e">
        <f t="array" ref="CJ48">_xlfn.STDEV.P(IF($E$5:$E$30=$E47,CJ$5:CJ$30))</f>
        <v>#DIV/0!</v>
      </c>
      <c r="CK48" s="74" t="e">
        <f t="array" ref="CK48">_xlfn.STDEV.P(IF($E$5:$E$30=$E47,CK$5:CK$30))</f>
        <v>#DIV/0!</v>
      </c>
      <c r="CL48" s="74" t="e">
        <f t="array" ref="CL48">_xlfn.STDEV.P(IF($E$5:$E$30=$E47,CL$5:CL$30))</f>
        <v>#DIV/0!</v>
      </c>
      <c r="CM48" s="74" t="e">
        <f t="array" ref="CM48">_xlfn.STDEV.P(IF($E$5:$E$30=$E47,CM$5:CM$30))</f>
        <v>#DIV/0!</v>
      </c>
      <c r="CN48" s="74" t="e">
        <f t="array" ref="CN48">_xlfn.STDEV.P(IF($E$5:$E$30=$E47,CN$5:CN$30))</f>
        <v>#DIV/0!</v>
      </c>
      <c r="CO48" s="74" t="e">
        <f t="array" ref="CO48">_xlfn.STDEV.P(IF($E$5:$E$30=$E47,CO$5:CO$30))</f>
        <v>#DIV/0!</v>
      </c>
      <c r="CP48" s="74" t="e">
        <f t="array" ref="CP48">_xlfn.STDEV.P(IF($E$5:$E$30=$E47,CP$5:CP$30))</f>
        <v>#DIV/0!</v>
      </c>
      <c r="CQ48" s="74" t="e">
        <f t="array" ref="CQ48">_xlfn.STDEV.P(IF($E$5:$E$30=$E47,CQ$5:CQ$30))</f>
        <v>#DIV/0!</v>
      </c>
      <c r="CR48" s="74" t="e">
        <f t="array" ref="CR48">_xlfn.STDEV.P(IF($E$5:$E$30=$E47,CR$5:CR$30))</f>
        <v>#DIV/0!</v>
      </c>
      <c r="CS48" s="74" t="e">
        <f t="array" ref="CS48">_xlfn.STDEV.P(IF($E$5:$E$30=$E47,CS$5:CS$30))</f>
        <v>#DIV/0!</v>
      </c>
      <c r="CT48" s="74" t="e">
        <f t="array" ref="CT48">_xlfn.STDEV.P(IF($E$5:$E$30=$E47,CT$5:CT$30))</f>
        <v>#DIV/0!</v>
      </c>
      <c r="CU48" s="74" t="e">
        <f t="array" ref="CU48">_xlfn.STDEV.P(IF($E$5:$E$30=$E47,CU$5:CU$30))</f>
        <v>#DIV/0!</v>
      </c>
      <c r="CV48" s="74" t="e">
        <f t="array" ref="CV48">_xlfn.STDEV.P(IF($E$5:$E$30=$E47,CV$5:CV$30))</f>
        <v>#DIV/0!</v>
      </c>
      <c r="CW48" s="76"/>
    </row>
    <row r="49" spans="1:101" ht="15">
      <c r="A49" s="113"/>
      <c r="E49" s="118"/>
      <c r="I49" s="52"/>
    </row>
    <row r="50" spans="1:101" ht="14.25" customHeight="1">
      <c r="A50" s="113"/>
      <c r="E50" s="118" t="str">
        <f>'FIG6 Groups'!C11</f>
        <v>Group 6</v>
      </c>
      <c r="I50" s="118" t="str">
        <f>E50</f>
        <v>Group 6</v>
      </c>
      <c r="J50" s="227" t="e">
        <f>AVERAGEIF($E$5:$E$30,$E50,J$5:J$30)</f>
        <v>#DIV/0!</v>
      </c>
      <c r="K50" s="72" t="s">
        <v>9</v>
      </c>
      <c r="L50" s="78" t="e">
        <f>AVERAGEIF($E$5:$E$30,$E50,L$5:L$30)</f>
        <v>#DIV/0!</v>
      </c>
      <c r="M50" s="78" t="e">
        <f>AVERAGEIF($E$5:$E$30,$E50,M$5:M$30)</f>
        <v>#DIV/0!</v>
      </c>
      <c r="N50" s="78" t="e">
        <f>AVERAGEIF($E$5:$E$30,$E50,N$5:N$30)</f>
        <v>#DIV/0!</v>
      </c>
      <c r="O50" s="78" t="e">
        <f>AVERAGEIF($E$5:$E$30,$E50,O$5:O$30)</f>
        <v>#DIV/0!</v>
      </c>
      <c r="P50" s="78" t="e">
        <f>AVERAGEIF($E$5:$E$30,$E50,P$5:P$30)</f>
        <v>#DIV/0!</v>
      </c>
      <c r="Q50" s="78" t="e">
        <f>AVERAGEIF($E$5:$E$30,$E50,Q$5:Q$30)</f>
        <v>#DIV/0!</v>
      </c>
      <c r="R50" s="78" t="e">
        <f>AVERAGEIF($E$5:$E$30,$E50,R$5:R$30)</f>
        <v>#DIV/0!</v>
      </c>
      <c r="S50" s="78" t="e">
        <f>AVERAGEIF($E$5:$E$30,$E50,S$5:S$30)</f>
        <v>#DIV/0!</v>
      </c>
      <c r="T50" s="78" t="e">
        <f>AVERAGEIF($E$5:$E$30,$E50,T$5:T$30)</f>
        <v>#DIV/0!</v>
      </c>
      <c r="U50" s="78" t="e">
        <f>AVERAGEIF($E$5:$E$30,$E50,U$5:U$30)</f>
        <v>#DIV/0!</v>
      </c>
      <c r="V50" s="78" t="e">
        <f>AVERAGEIF($E$5:$E$30,$E50,V$5:V$30)</f>
        <v>#DIV/0!</v>
      </c>
      <c r="W50" s="78" t="e">
        <f>AVERAGEIF($E$5:$E$30,$E50,W$5:W$30)</f>
        <v>#DIV/0!</v>
      </c>
      <c r="X50" s="78" t="e">
        <f>AVERAGEIF($E$5:$E$30,$E50,X$5:X$30)</f>
        <v>#DIV/0!</v>
      </c>
      <c r="Y50" s="78" t="e">
        <f>AVERAGEIF($E$5:$E$30,$E50,Y$5:Y$30)</f>
        <v>#DIV/0!</v>
      </c>
      <c r="Z50" s="78" t="e">
        <f>AVERAGEIF($E$5:$E$30,$E50,Z$5:Z$30)</f>
        <v>#DIV/0!</v>
      </c>
      <c r="AA50" s="78" t="e">
        <f>AVERAGEIF($E$5:$E$30,$E50,AA$5:AA$30)</f>
        <v>#DIV/0!</v>
      </c>
      <c r="AB50" s="78" t="e">
        <f>AVERAGEIF($E$5:$E$30,$E50,AB$5:AB$30)</f>
        <v>#DIV/0!</v>
      </c>
      <c r="AC50" s="78" t="e">
        <f>AVERAGEIF($E$5:$E$30,$E50,AC$5:AC$30)</f>
        <v>#DIV/0!</v>
      </c>
      <c r="AD50" s="78" t="e">
        <f>AVERAGEIF($E$5:$E$30,$E50,AD$5:AD$30)</f>
        <v>#DIV/0!</v>
      </c>
      <c r="AE50" s="78" t="e">
        <f>AVERAGEIF($E$5:$E$30,$E50,AE$5:AE$30)</f>
        <v>#DIV/0!</v>
      </c>
      <c r="AF50" s="78" t="e">
        <f>AVERAGEIF($E$5:$E$30,$E50,AF$5:AF$30)</f>
        <v>#DIV/0!</v>
      </c>
      <c r="AG50" s="78" t="e">
        <f>AVERAGEIF($E$5:$E$30,$E50,AG$5:AG$30)</f>
        <v>#DIV/0!</v>
      </c>
      <c r="AH50" s="78" t="e">
        <f>AVERAGEIF($E$5:$E$30,$E50,AH$5:AH$30)</f>
        <v>#DIV/0!</v>
      </c>
      <c r="AI50" s="78" t="e">
        <f>AVERAGEIF($E$5:$E$30,$E50,AI$5:AI$30)</f>
        <v>#DIV/0!</v>
      </c>
      <c r="AJ50" s="78" t="e">
        <f>AVERAGEIF($E$5:$E$30,$E50,AJ$5:AJ$30)</f>
        <v>#DIV/0!</v>
      </c>
      <c r="AK50" s="78" t="e">
        <f>AVERAGEIF($E$5:$E$30,$E50,AK$5:AK$30)</f>
        <v>#DIV/0!</v>
      </c>
      <c r="AL50" s="78" t="e">
        <f>AVERAGEIF($E$5:$E$30,$E50,AL$5:AL$30)</f>
        <v>#DIV/0!</v>
      </c>
      <c r="AM50" s="78" t="e">
        <f>AVERAGEIF($E$5:$E$30,$E50,AM$5:AM$30)</f>
        <v>#DIV/0!</v>
      </c>
      <c r="AN50" s="78" t="e">
        <f>AVERAGEIF($E$5:$E$30,$E50,AN$5:AN$30)</f>
        <v>#DIV/0!</v>
      </c>
      <c r="AO50" s="78" t="e">
        <f>AVERAGEIF($E$5:$E$30,$E50,AO$5:AO$30)</f>
        <v>#DIV/0!</v>
      </c>
      <c r="AP50" s="78" t="e">
        <f>AVERAGEIF($E$5:$E$30,$E50,AP$5:AP$30)</f>
        <v>#DIV/0!</v>
      </c>
      <c r="AQ50" s="78" t="e">
        <f>AVERAGEIF($E$5:$E$30,$E50,AQ$5:AQ$30)</f>
        <v>#DIV/0!</v>
      </c>
      <c r="AR50" s="78" t="e">
        <f>AVERAGEIF($E$5:$E$30,$E50,AR$5:AR$30)</f>
        <v>#DIV/0!</v>
      </c>
      <c r="AS50" s="78" t="e">
        <f>AVERAGEIF($E$5:$E$30,$E50,AS$5:AS$30)</f>
        <v>#DIV/0!</v>
      </c>
      <c r="AT50" s="78" t="e">
        <f>AVERAGEIF($E$5:$E$30,$E50,AT$5:AT$30)</f>
        <v>#DIV/0!</v>
      </c>
      <c r="AU50" s="78" t="e">
        <f>AVERAGEIF($E$5:$E$30,$E50,AU$5:AU$30)</f>
        <v>#DIV/0!</v>
      </c>
      <c r="AV50" s="78" t="e">
        <f>AVERAGEIF($E$5:$E$30,$E50,AV$5:AV$30)</f>
        <v>#DIV/0!</v>
      </c>
      <c r="AW50" s="78" t="e">
        <f>AVERAGEIF($E$5:$E$30,$E50,AW$5:AW$30)</f>
        <v>#DIV/0!</v>
      </c>
      <c r="AX50" s="78" t="e">
        <f>AVERAGEIF($E$5:$E$30,$E50,AX$5:AX$30)</f>
        <v>#DIV/0!</v>
      </c>
      <c r="AY50" s="78" t="e">
        <f>AVERAGEIF($E$5:$E$30,$E50,AY$5:AY$30)</f>
        <v>#DIV/0!</v>
      </c>
      <c r="AZ50" s="78" t="e">
        <f>AVERAGEIF($E$5:$E$30,$E50,AZ$5:AZ$30)</f>
        <v>#DIV/0!</v>
      </c>
      <c r="BA50" s="78" t="e">
        <f>AVERAGEIF($E$5:$E$30,$E50,BA$5:BA$30)</f>
        <v>#DIV/0!</v>
      </c>
      <c r="BB50" s="78" t="e">
        <f>AVERAGEIF($E$5:$E$30,$E50,BB$5:BB$30)</f>
        <v>#DIV/0!</v>
      </c>
      <c r="BC50" s="78" t="e">
        <f>AVERAGEIF($E$5:$E$30,$E50,BC$5:BC$30)</f>
        <v>#DIV/0!</v>
      </c>
      <c r="BD50" s="103" t="s">
        <v>9</v>
      </c>
      <c r="BE50" s="73" t="e">
        <f>AVERAGEIF($E$5:$E$30,$E50,BE$5:BE$30)</f>
        <v>#DIV/0!</v>
      </c>
      <c r="BF50" s="73" t="e">
        <f>AVERAGEIF($E$5:$E$30,$E50,BF$5:BF$30)</f>
        <v>#DIV/0!</v>
      </c>
      <c r="BG50" s="73" t="e">
        <f>AVERAGEIF($E$5:$E$30,$E50,BG$5:BG$30)</f>
        <v>#DIV/0!</v>
      </c>
      <c r="BH50" s="73" t="e">
        <f>AVERAGEIF($E$5:$E$30,$E50,BH$5:BH$30)</f>
        <v>#DIV/0!</v>
      </c>
      <c r="BI50" s="73" t="e">
        <f>AVERAGEIF($E$5:$E$30,$E50,BI$5:BI$30)</f>
        <v>#DIV/0!</v>
      </c>
      <c r="BJ50" s="73" t="e">
        <f>AVERAGEIF($E$5:$E$30,$E50,BJ$5:BJ$30)</f>
        <v>#DIV/0!</v>
      </c>
      <c r="BK50" s="73" t="e">
        <f>AVERAGEIF($E$5:$E$30,$E50,BK$5:BK$30)</f>
        <v>#DIV/0!</v>
      </c>
      <c r="BL50" s="73" t="e">
        <f>AVERAGEIF($E$5:$E$30,$E50,BL$5:BL$30)</f>
        <v>#DIV/0!</v>
      </c>
      <c r="BM50" s="73" t="e">
        <f>AVERAGEIF($E$5:$E$30,$E50,BM$5:BM$30)</f>
        <v>#DIV/0!</v>
      </c>
      <c r="BN50" s="73" t="e">
        <f>AVERAGEIF($E$5:$E$30,$E50,BN$5:BN$30)</f>
        <v>#DIV/0!</v>
      </c>
      <c r="BO50" s="73" t="e">
        <f>AVERAGEIF($E$5:$E$30,$E50,BO$5:BO$30)</f>
        <v>#DIV/0!</v>
      </c>
      <c r="BP50" s="73" t="e">
        <f>AVERAGEIF($E$5:$E$30,$E50,BP$5:BP$30)</f>
        <v>#DIV/0!</v>
      </c>
      <c r="BQ50" s="73" t="e">
        <f>AVERAGEIF($E$5:$E$30,$E50,BQ$5:BQ$30)</f>
        <v>#DIV/0!</v>
      </c>
      <c r="BR50" s="73" t="e">
        <f>AVERAGEIF($E$5:$E$30,$E50,BR$5:BR$30)</f>
        <v>#DIV/0!</v>
      </c>
      <c r="BS50" s="73" t="e">
        <f>AVERAGEIF($E$5:$E$30,$E50,BS$5:BS$30)</f>
        <v>#DIV/0!</v>
      </c>
      <c r="BT50" s="73" t="e">
        <f>AVERAGEIF($E$5:$E$30,$E50,BT$5:BT$30)</f>
        <v>#DIV/0!</v>
      </c>
      <c r="BU50" s="73" t="e">
        <f>AVERAGEIF($E$5:$E$30,$E50,BU$5:BU$30)</f>
        <v>#DIV/0!</v>
      </c>
      <c r="BV50" s="73" t="e">
        <f>AVERAGEIF($E$5:$E$30,$E50,BV$5:BV$30)</f>
        <v>#DIV/0!</v>
      </c>
      <c r="BW50" s="73" t="e">
        <f>AVERAGEIF($E$5:$E$30,$E50,BW$5:BW$30)</f>
        <v>#DIV/0!</v>
      </c>
      <c r="BX50" s="73" t="e">
        <f>AVERAGEIF($E$5:$E$30,$E50,BX$5:BX$30)</f>
        <v>#DIV/0!</v>
      </c>
      <c r="BY50" s="73" t="e">
        <f>AVERAGEIF($E$5:$E$30,$E50,BY$5:BY$30)</f>
        <v>#DIV/0!</v>
      </c>
      <c r="BZ50" s="73" t="e">
        <f>AVERAGEIF($E$5:$E$30,$E50,BZ$5:BZ$30)</f>
        <v>#DIV/0!</v>
      </c>
      <c r="CA50" s="73" t="e">
        <f>AVERAGEIF($E$5:$E$30,$E50,CA$5:CA$30)</f>
        <v>#DIV/0!</v>
      </c>
      <c r="CB50" s="73" t="e">
        <f>AVERAGEIF($E$5:$E$30,$E50,CB$5:CB$30)</f>
        <v>#DIV/0!</v>
      </c>
      <c r="CC50" s="73" t="e">
        <f>AVERAGEIF($E$5:$E$30,$E50,CC$5:CC$30)</f>
        <v>#DIV/0!</v>
      </c>
      <c r="CD50" s="73" t="e">
        <f>AVERAGEIF($E$5:$E$30,$E50,CD$5:CD$30)</f>
        <v>#DIV/0!</v>
      </c>
      <c r="CE50" s="73" t="e">
        <f>AVERAGEIF($E$5:$E$30,$E50,CE$5:CE$30)</f>
        <v>#DIV/0!</v>
      </c>
      <c r="CF50" s="73" t="e">
        <f>AVERAGEIF($E$5:$E$30,$E50,CF$5:CF$30)</f>
        <v>#DIV/0!</v>
      </c>
      <c r="CG50" s="73" t="e">
        <f>AVERAGEIF($E$5:$E$30,$E50,CG$5:CG$30)</f>
        <v>#DIV/0!</v>
      </c>
      <c r="CH50" s="73" t="e">
        <f>AVERAGEIF($E$5:$E$30,$E50,CH$5:CH$30)</f>
        <v>#DIV/0!</v>
      </c>
      <c r="CI50" s="73" t="e">
        <f>AVERAGEIF($E$5:$E$30,$E50,CI$5:CI$30)</f>
        <v>#DIV/0!</v>
      </c>
      <c r="CJ50" s="73" t="e">
        <f>AVERAGEIF($E$5:$E$30,$E50,CJ$5:CJ$30)</f>
        <v>#DIV/0!</v>
      </c>
      <c r="CK50" s="73" t="e">
        <f>AVERAGEIF($E$5:$E$30,$E50,CK$5:CK$30)</f>
        <v>#DIV/0!</v>
      </c>
      <c r="CL50" s="73" t="e">
        <f>AVERAGEIF($E$5:$E$30,$E50,CL$5:CL$30)</f>
        <v>#DIV/0!</v>
      </c>
      <c r="CM50" s="73" t="e">
        <f>AVERAGEIF($E$5:$E$30,$E50,CM$5:CM$30)</f>
        <v>#DIV/0!</v>
      </c>
      <c r="CN50" s="73" t="e">
        <f>AVERAGEIF($E$5:$E$30,$E50,CN$5:CN$30)</f>
        <v>#DIV/0!</v>
      </c>
      <c r="CO50" s="73" t="e">
        <f>AVERAGEIF($E$5:$E$30,$E50,CO$5:CO$30)</f>
        <v>#DIV/0!</v>
      </c>
      <c r="CP50" s="73" t="e">
        <f>AVERAGEIF($E$5:$E$30,$E50,CP$5:CP$30)</f>
        <v>#DIV/0!</v>
      </c>
      <c r="CQ50" s="73" t="e">
        <f>AVERAGEIF($E$5:$E$30,$E50,CQ$5:CQ$30)</f>
        <v>#DIV/0!</v>
      </c>
      <c r="CR50" s="73" t="e">
        <f>AVERAGEIF($E$5:$E$30,$E50,CR$5:CR$30)</f>
        <v>#DIV/0!</v>
      </c>
      <c r="CS50" s="73" t="e">
        <f>AVERAGEIF($E$5:$E$30,$E50,CS$5:CS$30)</f>
        <v>#DIV/0!</v>
      </c>
      <c r="CT50" s="73" t="e">
        <f>AVERAGEIF($E$5:$E$30,$E50,CT$5:CT$30)</f>
        <v>#DIV/0!</v>
      </c>
      <c r="CU50" s="73" t="e">
        <f>AVERAGEIF($E$5:$E$30,$E50,CU$5:CU$30)</f>
        <v>#DIV/0!</v>
      </c>
      <c r="CV50" s="73" t="e">
        <f>AVERAGEIF($E$5:$E$30,$E50,CV$5:CV$30)</f>
        <v>#DIV/0!</v>
      </c>
      <c r="CW50" s="76"/>
    </row>
    <row r="51" spans="1:101" ht="14.25" customHeight="1">
      <c r="A51" s="113"/>
      <c r="E51" s="118"/>
      <c r="I51" s="93"/>
      <c r="J51" s="227" t="e">
        <f t="array" ref="J51">_xlfn.STDEV.P(IF($E$5:$E$30=$E50,J$5:J$30))</f>
        <v>#DIV/0!</v>
      </c>
      <c r="K51" s="72" t="s">
        <v>11</v>
      </c>
      <c r="L51" s="81" t="e">
        <f t="array" ref="L51">_xlfn.STDEV.P(IF($E$5:$E$30=$E50,L$5:L$30))</f>
        <v>#DIV/0!</v>
      </c>
      <c r="M51" s="81" t="e">
        <f t="array" ref="M51">_xlfn.STDEV.P(IF($E$5:$E$30=$E50,M$5:M$30))</f>
        <v>#DIV/0!</v>
      </c>
      <c r="N51" s="81" t="e">
        <f t="array" ref="N51">_xlfn.STDEV.P(IF($E$5:$E$30=$E50,N$5:N$30))</f>
        <v>#DIV/0!</v>
      </c>
      <c r="O51" s="81" t="e">
        <f t="array" ref="O51">_xlfn.STDEV.P(IF($E$5:$E$30=$E50,O$5:O$30))</f>
        <v>#DIV/0!</v>
      </c>
      <c r="P51" s="81" t="e">
        <f t="array" ref="P51">_xlfn.STDEV.P(IF($E$5:$E$30=$E50,P$5:P$30))</f>
        <v>#DIV/0!</v>
      </c>
      <c r="Q51" s="81" t="e">
        <f t="array" ref="Q51">_xlfn.STDEV.P(IF($E$5:$E$30=$E50,Q$5:Q$30))</f>
        <v>#DIV/0!</v>
      </c>
      <c r="R51" s="81" t="e">
        <f t="array" ref="R51">_xlfn.STDEV.P(IF($E$5:$E$30=$E50,R$5:R$30))</f>
        <v>#DIV/0!</v>
      </c>
      <c r="S51" s="81" t="e">
        <f t="array" ref="S51">_xlfn.STDEV.P(IF($E$5:$E$30=$E50,S$5:S$30))</f>
        <v>#DIV/0!</v>
      </c>
      <c r="T51" s="81" t="e">
        <f t="array" ref="T51">_xlfn.STDEV.P(IF($E$5:$E$30=$E50,T$5:T$30))</f>
        <v>#DIV/0!</v>
      </c>
      <c r="U51" s="81" t="e">
        <f t="array" ref="U51">_xlfn.STDEV.P(IF($E$5:$E$30=$E50,U$5:U$30))</f>
        <v>#DIV/0!</v>
      </c>
      <c r="V51" s="81" t="e">
        <f t="array" ref="V51">_xlfn.STDEV.P(IF($E$5:$E$30=$E50,V$5:V$30))</f>
        <v>#DIV/0!</v>
      </c>
      <c r="W51" s="81" t="e">
        <f t="array" ref="W51">_xlfn.STDEV.P(IF($E$5:$E$30=$E50,W$5:W$30))</f>
        <v>#DIV/0!</v>
      </c>
      <c r="X51" s="81" t="e">
        <f t="array" ref="X51">_xlfn.STDEV.P(IF($E$5:$E$30=$E50,X$5:X$30))</f>
        <v>#DIV/0!</v>
      </c>
      <c r="Y51" s="81" t="e">
        <f t="array" ref="Y51">_xlfn.STDEV.P(IF($E$5:$E$30=$E50,Y$5:Y$30))</f>
        <v>#DIV/0!</v>
      </c>
      <c r="Z51" s="81" t="e">
        <f t="array" ref="Z51">_xlfn.STDEV.P(IF($E$5:$E$30=$E50,Z$5:Z$30))</f>
        <v>#DIV/0!</v>
      </c>
      <c r="AA51" s="81" t="e">
        <f t="array" ref="AA51">_xlfn.STDEV.P(IF($E$5:$E$30=$E50,AA$5:AA$30))</f>
        <v>#DIV/0!</v>
      </c>
      <c r="AB51" s="81" t="e">
        <f t="array" ref="AB51">_xlfn.STDEV.P(IF($E$5:$E$30=$E50,AB$5:AB$30))</f>
        <v>#DIV/0!</v>
      </c>
      <c r="AC51" s="81" t="e">
        <f t="array" ref="AC51">_xlfn.STDEV.P(IF($E$5:$E$30=$E50,AC$5:AC$30))</f>
        <v>#DIV/0!</v>
      </c>
      <c r="AD51" s="81" t="e">
        <f t="array" ref="AD51">_xlfn.STDEV.P(IF($E$5:$E$30=$E50,AD$5:AD$30))</f>
        <v>#DIV/0!</v>
      </c>
      <c r="AE51" s="81" t="e">
        <f t="array" ref="AE51">_xlfn.STDEV.P(IF($E$5:$E$30=$E50,AE$5:AE$30))</f>
        <v>#DIV/0!</v>
      </c>
      <c r="AF51" s="81" t="e">
        <f t="array" ref="AF51">_xlfn.STDEV.P(IF($E$5:$E$30=$E50,AF$5:AF$30))</f>
        <v>#DIV/0!</v>
      </c>
      <c r="AG51" s="81" t="e">
        <f t="array" ref="AG51">_xlfn.STDEV.P(IF($E$5:$E$30=$E50,AG$5:AG$30))</f>
        <v>#DIV/0!</v>
      </c>
      <c r="AH51" s="81" t="e">
        <f t="array" ref="AH51">_xlfn.STDEV.P(IF($E$5:$E$30=$E50,AH$5:AH$30))</f>
        <v>#DIV/0!</v>
      </c>
      <c r="AI51" s="81" t="e">
        <f t="array" ref="AI51">_xlfn.STDEV.P(IF($E$5:$E$30=$E50,AI$5:AI$30))</f>
        <v>#DIV/0!</v>
      </c>
      <c r="AJ51" s="81" t="e">
        <f t="array" ref="AJ51">_xlfn.STDEV.P(IF($E$5:$E$30=$E50,AJ$5:AJ$30))</f>
        <v>#DIV/0!</v>
      </c>
      <c r="AK51" s="81" t="e">
        <f t="array" ref="AK51">_xlfn.STDEV.P(IF($E$5:$E$30=$E50,AK$5:AK$30))</f>
        <v>#DIV/0!</v>
      </c>
      <c r="AL51" s="81" t="e">
        <f t="array" ref="AL51">_xlfn.STDEV.P(IF($E$5:$E$30=$E50,AL$5:AL$30))</f>
        <v>#DIV/0!</v>
      </c>
      <c r="AM51" s="81" t="e">
        <f t="array" ref="AM51">_xlfn.STDEV.P(IF($E$5:$E$30=$E50,AM$5:AM$30))</f>
        <v>#DIV/0!</v>
      </c>
      <c r="AN51" s="81" t="e">
        <f t="array" ref="AN51">_xlfn.STDEV.P(IF($E$5:$E$30=$E50,AN$5:AN$30))</f>
        <v>#DIV/0!</v>
      </c>
      <c r="AO51" s="81" t="e">
        <f t="array" ref="AO51">_xlfn.STDEV.P(IF($E$5:$E$30=$E50,AO$5:AO$30))</f>
        <v>#DIV/0!</v>
      </c>
      <c r="AP51" s="81" t="e">
        <f t="array" ref="AP51">_xlfn.STDEV.P(IF($E$5:$E$30=$E50,AP$5:AP$30))</f>
        <v>#DIV/0!</v>
      </c>
      <c r="AQ51" s="81" t="e">
        <f t="array" ref="AQ51">_xlfn.STDEV.P(IF($E$5:$E$30=$E50,AQ$5:AQ$30))</f>
        <v>#DIV/0!</v>
      </c>
      <c r="AR51" s="81" t="e">
        <f t="array" ref="AR51">_xlfn.STDEV.P(IF($E$5:$E$30=$E50,AR$5:AR$30))</f>
        <v>#DIV/0!</v>
      </c>
      <c r="AS51" s="81" t="e">
        <f t="array" ref="AS51">_xlfn.STDEV.P(IF($E$5:$E$30=$E50,AS$5:AS$30))</f>
        <v>#DIV/0!</v>
      </c>
      <c r="AT51" s="81" t="e">
        <f t="array" ref="AT51">_xlfn.STDEV.P(IF($E$5:$E$30=$E50,AT$5:AT$30))</f>
        <v>#DIV/0!</v>
      </c>
      <c r="AU51" s="81" t="e">
        <f t="array" ref="AU51">_xlfn.STDEV.P(IF($E$5:$E$30=$E50,AU$5:AU$30))</f>
        <v>#DIV/0!</v>
      </c>
      <c r="AV51" s="81" t="e">
        <f t="array" ref="AV51">_xlfn.STDEV.P(IF($E$5:$E$30=$E50,AV$5:AV$30))</f>
        <v>#DIV/0!</v>
      </c>
      <c r="AW51" s="81" t="e">
        <f t="array" ref="AW51">_xlfn.STDEV.P(IF($E$5:$E$30=$E50,AW$5:AW$30))</f>
        <v>#DIV/0!</v>
      </c>
      <c r="AX51" s="81" t="e">
        <f t="array" ref="AX51">_xlfn.STDEV.P(IF($E$5:$E$30=$E50,AX$5:AX$30))</f>
        <v>#DIV/0!</v>
      </c>
      <c r="AY51" s="81" t="e">
        <f t="array" ref="AY51">_xlfn.STDEV.P(IF($E$5:$E$30=$E50,AY$5:AY$30))</f>
        <v>#DIV/0!</v>
      </c>
      <c r="AZ51" s="81" t="e">
        <f t="array" ref="AZ51">_xlfn.STDEV.P(IF($E$5:$E$30=$E50,AZ$5:AZ$30))</f>
        <v>#DIV/0!</v>
      </c>
      <c r="BA51" s="81" t="e">
        <f t="array" ref="BA51">_xlfn.STDEV.P(IF($E$5:$E$30=$E50,BA$5:BA$30))</f>
        <v>#DIV/0!</v>
      </c>
      <c r="BB51" s="81" t="e">
        <f t="array" ref="BB51">_xlfn.STDEV.P(IF($E$5:$E$30=$E50,BB$5:BB$30))</f>
        <v>#DIV/0!</v>
      </c>
      <c r="BC51" s="81" t="e">
        <f t="array" ref="BC51">_xlfn.STDEV.P(IF($E$5:$E$30=$E50,BC$5:BC$30))</f>
        <v>#DIV/0!</v>
      </c>
      <c r="BD51" s="104" t="s">
        <v>11</v>
      </c>
      <c r="BE51" s="74" t="e">
        <f t="array" ref="BE51">_xlfn.STDEV.P(IF($E$5:$E$30=$E50,BE$5:BE$30))</f>
        <v>#DIV/0!</v>
      </c>
      <c r="BF51" s="74" t="e">
        <f t="array" ref="BF51">_xlfn.STDEV.P(IF($E$5:$E$30=$E50,BF$5:BF$30))</f>
        <v>#DIV/0!</v>
      </c>
      <c r="BG51" s="74" t="e">
        <f t="array" ref="BG51">_xlfn.STDEV.P(IF($E$5:$E$30=$E50,BG$5:BG$30))</f>
        <v>#DIV/0!</v>
      </c>
      <c r="BH51" s="74" t="e">
        <f t="array" ref="BH51">_xlfn.STDEV.P(IF($E$5:$E$30=$E50,BH$5:BH$30))</f>
        <v>#DIV/0!</v>
      </c>
      <c r="BI51" s="74" t="e">
        <f t="array" ref="BI51">_xlfn.STDEV.P(IF($E$5:$E$30=$E50,BI$5:BI$30))</f>
        <v>#DIV/0!</v>
      </c>
      <c r="BJ51" s="74" t="e">
        <f t="array" ref="BJ51">_xlfn.STDEV.P(IF($E$5:$E$30=$E50,BJ$5:BJ$30))</f>
        <v>#DIV/0!</v>
      </c>
      <c r="BK51" s="74" t="e">
        <f t="array" ref="BK51">_xlfn.STDEV.P(IF($E$5:$E$30=$E50,BK$5:BK$30))</f>
        <v>#DIV/0!</v>
      </c>
      <c r="BL51" s="74" t="e">
        <f t="array" ref="BL51">_xlfn.STDEV.P(IF($E$5:$E$30=$E50,BL$5:BL$30))</f>
        <v>#DIV/0!</v>
      </c>
      <c r="BM51" s="74" t="e">
        <f t="array" ref="BM51">_xlfn.STDEV.P(IF($E$5:$E$30=$E50,BM$5:BM$30))</f>
        <v>#DIV/0!</v>
      </c>
      <c r="BN51" s="74" t="e">
        <f t="array" ref="BN51">_xlfn.STDEV.P(IF($E$5:$E$30=$E50,BN$5:BN$30))</f>
        <v>#DIV/0!</v>
      </c>
      <c r="BO51" s="74" t="e">
        <f t="array" ref="BO51">_xlfn.STDEV.P(IF($E$5:$E$30=$E50,BO$5:BO$30))</f>
        <v>#DIV/0!</v>
      </c>
      <c r="BP51" s="74" t="e">
        <f t="array" ref="BP51">_xlfn.STDEV.P(IF($E$5:$E$30=$E50,BP$5:BP$30))</f>
        <v>#DIV/0!</v>
      </c>
      <c r="BQ51" s="74" t="e">
        <f t="array" ref="BQ51">_xlfn.STDEV.P(IF($E$5:$E$30=$E50,BQ$5:BQ$30))</f>
        <v>#DIV/0!</v>
      </c>
      <c r="BR51" s="74" t="e">
        <f t="array" ref="BR51">_xlfn.STDEV.P(IF($E$5:$E$30=$E50,BR$5:BR$30))</f>
        <v>#DIV/0!</v>
      </c>
      <c r="BS51" s="74" t="e">
        <f t="array" ref="BS51">_xlfn.STDEV.P(IF($E$5:$E$30=$E50,BS$5:BS$30))</f>
        <v>#DIV/0!</v>
      </c>
      <c r="BT51" s="74" t="e">
        <f t="array" ref="BT51">_xlfn.STDEV.P(IF($E$5:$E$30=$E50,BT$5:BT$30))</f>
        <v>#DIV/0!</v>
      </c>
      <c r="BU51" s="74" t="e">
        <f t="array" ref="BU51">_xlfn.STDEV.P(IF($E$5:$E$30=$E50,BU$5:BU$30))</f>
        <v>#DIV/0!</v>
      </c>
      <c r="BV51" s="74" t="e">
        <f t="array" ref="BV51">_xlfn.STDEV.P(IF($E$5:$E$30=$E50,BV$5:BV$30))</f>
        <v>#DIV/0!</v>
      </c>
      <c r="BW51" s="74" t="e">
        <f t="array" ref="BW51">_xlfn.STDEV.P(IF($E$5:$E$30=$E50,BW$5:BW$30))</f>
        <v>#DIV/0!</v>
      </c>
      <c r="BX51" s="74" t="e">
        <f t="array" ref="BX51">_xlfn.STDEV.P(IF($E$5:$E$30=$E50,BX$5:BX$30))</f>
        <v>#DIV/0!</v>
      </c>
      <c r="BY51" s="74" t="e">
        <f t="array" ref="BY51">_xlfn.STDEV.P(IF($E$5:$E$30=$E50,BY$5:BY$30))</f>
        <v>#DIV/0!</v>
      </c>
      <c r="BZ51" s="74" t="e">
        <f t="array" ref="BZ51">_xlfn.STDEV.P(IF($E$5:$E$30=$E50,BZ$5:BZ$30))</f>
        <v>#DIV/0!</v>
      </c>
      <c r="CA51" s="74" t="e">
        <f t="array" ref="CA51">_xlfn.STDEV.P(IF($E$5:$E$30=$E50,CA$5:CA$30))</f>
        <v>#DIV/0!</v>
      </c>
      <c r="CB51" s="74" t="e">
        <f t="array" ref="CB51">_xlfn.STDEV.P(IF($E$5:$E$30=$E50,CB$5:CB$30))</f>
        <v>#DIV/0!</v>
      </c>
      <c r="CC51" s="74" t="e">
        <f t="array" ref="CC51">_xlfn.STDEV.P(IF($E$5:$E$30=$E50,CC$5:CC$30))</f>
        <v>#DIV/0!</v>
      </c>
      <c r="CD51" s="74" t="e">
        <f t="array" ref="CD51">_xlfn.STDEV.P(IF($E$5:$E$30=$E50,CD$5:CD$30))</f>
        <v>#DIV/0!</v>
      </c>
      <c r="CE51" s="74" t="e">
        <f t="array" ref="CE51">_xlfn.STDEV.P(IF($E$5:$E$30=$E50,CE$5:CE$30))</f>
        <v>#DIV/0!</v>
      </c>
      <c r="CF51" s="74" t="e">
        <f t="array" ref="CF51">_xlfn.STDEV.P(IF($E$5:$E$30=$E50,CF$5:CF$30))</f>
        <v>#DIV/0!</v>
      </c>
      <c r="CG51" s="74" t="e">
        <f t="array" ref="CG51">_xlfn.STDEV.P(IF($E$5:$E$30=$E50,CG$5:CG$30))</f>
        <v>#DIV/0!</v>
      </c>
      <c r="CH51" s="74" t="e">
        <f t="array" ref="CH51">_xlfn.STDEV.P(IF($E$5:$E$30=$E50,CH$5:CH$30))</f>
        <v>#DIV/0!</v>
      </c>
      <c r="CI51" s="74" t="e">
        <f t="array" ref="CI51">_xlfn.STDEV.P(IF($E$5:$E$30=$E50,CI$5:CI$30))</f>
        <v>#DIV/0!</v>
      </c>
      <c r="CJ51" s="74" t="e">
        <f t="array" ref="CJ51">_xlfn.STDEV.P(IF($E$5:$E$30=$E50,CJ$5:CJ$30))</f>
        <v>#DIV/0!</v>
      </c>
      <c r="CK51" s="74" t="e">
        <f t="array" ref="CK51">_xlfn.STDEV.P(IF($E$5:$E$30=$E50,CK$5:CK$30))</f>
        <v>#DIV/0!</v>
      </c>
      <c r="CL51" s="74" t="e">
        <f t="array" ref="CL51">_xlfn.STDEV.P(IF($E$5:$E$30=$E50,CL$5:CL$30))</f>
        <v>#DIV/0!</v>
      </c>
      <c r="CM51" s="74" t="e">
        <f t="array" ref="CM51">_xlfn.STDEV.P(IF($E$5:$E$30=$E50,CM$5:CM$30))</f>
        <v>#DIV/0!</v>
      </c>
      <c r="CN51" s="74" t="e">
        <f t="array" ref="CN51">_xlfn.STDEV.P(IF($E$5:$E$30=$E50,CN$5:CN$30))</f>
        <v>#DIV/0!</v>
      </c>
      <c r="CO51" s="74" t="e">
        <f t="array" ref="CO51">_xlfn.STDEV.P(IF($E$5:$E$30=$E50,CO$5:CO$30))</f>
        <v>#DIV/0!</v>
      </c>
      <c r="CP51" s="74" t="e">
        <f t="array" ref="CP51">_xlfn.STDEV.P(IF($E$5:$E$30=$E50,CP$5:CP$30))</f>
        <v>#DIV/0!</v>
      </c>
      <c r="CQ51" s="74" t="e">
        <f t="array" ref="CQ51">_xlfn.STDEV.P(IF($E$5:$E$30=$E50,CQ$5:CQ$30))</f>
        <v>#DIV/0!</v>
      </c>
      <c r="CR51" s="74" t="e">
        <f t="array" ref="CR51">_xlfn.STDEV.P(IF($E$5:$E$30=$E50,CR$5:CR$30))</f>
        <v>#DIV/0!</v>
      </c>
      <c r="CS51" s="74" t="e">
        <f t="array" ref="CS51">_xlfn.STDEV.P(IF($E$5:$E$30=$E50,CS$5:CS$30))</f>
        <v>#DIV/0!</v>
      </c>
      <c r="CT51" s="74" t="e">
        <f t="array" ref="CT51">_xlfn.STDEV.P(IF($E$5:$E$30=$E50,CT$5:CT$30))</f>
        <v>#DIV/0!</v>
      </c>
      <c r="CU51" s="74" t="e">
        <f t="array" ref="CU51">_xlfn.STDEV.P(IF($E$5:$E$30=$E50,CU$5:CU$30))</f>
        <v>#DIV/0!</v>
      </c>
      <c r="CV51" s="74" t="e">
        <f t="array" ref="CV51">_xlfn.STDEV.P(IF($E$5:$E$30=$E50,CV$5:CV$30))</f>
        <v>#DIV/0!</v>
      </c>
      <c r="CW51" s="76"/>
    </row>
    <row r="52" spans="1:101" ht="15">
      <c r="A52" s="113"/>
      <c r="E52" s="118"/>
      <c r="I52" s="52"/>
    </row>
    <row r="53" spans="1:101" ht="14.25" customHeight="1">
      <c r="A53" s="113"/>
      <c r="E53" s="118" t="str">
        <f>'FIG6 Groups'!C12</f>
        <v>Group 7</v>
      </c>
      <c r="I53" s="118" t="str">
        <f>E53</f>
        <v>Group 7</v>
      </c>
      <c r="J53" s="227" t="e">
        <f>AVERAGEIF($E$5:$E$30,$E53,J$5:J$30)</f>
        <v>#DIV/0!</v>
      </c>
      <c r="K53" s="72" t="s">
        <v>9</v>
      </c>
      <c r="L53" s="78" t="e">
        <f>AVERAGEIF($E$5:$E$30,$E53,L$5:L$30)</f>
        <v>#DIV/0!</v>
      </c>
      <c r="M53" s="78" t="e">
        <f>AVERAGEIF($E$5:$E$30,$E53,M$5:M$30)</f>
        <v>#DIV/0!</v>
      </c>
      <c r="N53" s="78" t="e">
        <f>AVERAGEIF($E$5:$E$30,$E53,N$5:N$30)</f>
        <v>#DIV/0!</v>
      </c>
      <c r="O53" s="78" t="e">
        <f>AVERAGEIF($E$5:$E$30,$E53,O$5:O$30)</f>
        <v>#DIV/0!</v>
      </c>
      <c r="P53" s="78" t="e">
        <f>AVERAGEIF($E$5:$E$30,$E53,P$5:P$30)</f>
        <v>#DIV/0!</v>
      </c>
      <c r="Q53" s="78" t="e">
        <f>AVERAGEIF($E$5:$E$30,$E53,Q$5:Q$30)</f>
        <v>#DIV/0!</v>
      </c>
      <c r="R53" s="78" t="e">
        <f>AVERAGEIF($E$5:$E$30,$E53,R$5:R$30)</f>
        <v>#DIV/0!</v>
      </c>
      <c r="S53" s="78" t="e">
        <f>AVERAGEIF($E$5:$E$30,$E53,S$5:S$30)</f>
        <v>#DIV/0!</v>
      </c>
      <c r="T53" s="78" t="e">
        <f>AVERAGEIF($E$5:$E$30,$E53,T$5:T$30)</f>
        <v>#DIV/0!</v>
      </c>
      <c r="U53" s="78" t="e">
        <f>AVERAGEIF($E$5:$E$30,$E53,U$5:U$30)</f>
        <v>#DIV/0!</v>
      </c>
      <c r="V53" s="78" t="e">
        <f>AVERAGEIF($E$5:$E$30,$E53,V$5:V$30)</f>
        <v>#DIV/0!</v>
      </c>
      <c r="W53" s="78" t="e">
        <f>AVERAGEIF($E$5:$E$30,$E53,W$5:W$30)</f>
        <v>#DIV/0!</v>
      </c>
      <c r="X53" s="78" t="e">
        <f>AVERAGEIF($E$5:$E$30,$E53,X$5:X$30)</f>
        <v>#DIV/0!</v>
      </c>
      <c r="Y53" s="78" t="e">
        <f>AVERAGEIF($E$5:$E$30,$E53,Y$5:Y$30)</f>
        <v>#DIV/0!</v>
      </c>
      <c r="Z53" s="78" t="e">
        <f>AVERAGEIF($E$5:$E$30,$E53,Z$5:Z$30)</f>
        <v>#DIV/0!</v>
      </c>
      <c r="AA53" s="78" t="e">
        <f>AVERAGEIF($E$5:$E$30,$E53,AA$5:AA$30)</f>
        <v>#DIV/0!</v>
      </c>
      <c r="AB53" s="78" t="e">
        <f>AVERAGEIF($E$5:$E$30,$E53,AB$5:AB$30)</f>
        <v>#DIV/0!</v>
      </c>
      <c r="AC53" s="78" t="e">
        <f>AVERAGEIF($E$5:$E$30,$E53,AC$5:AC$30)</f>
        <v>#DIV/0!</v>
      </c>
      <c r="AD53" s="78" t="e">
        <f>AVERAGEIF($E$5:$E$30,$E53,AD$5:AD$30)</f>
        <v>#DIV/0!</v>
      </c>
      <c r="AE53" s="78" t="e">
        <f>AVERAGEIF($E$5:$E$30,$E53,AE$5:AE$30)</f>
        <v>#DIV/0!</v>
      </c>
      <c r="AF53" s="78" t="e">
        <f>AVERAGEIF($E$5:$E$30,$E53,AF$5:AF$30)</f>
        <v>#DIV/0!</v>
      </c>
      <c r="AG53" s="78" t="e">
        <f>AVERAGEIF($E$5:$E$30,$E53,AG$5:AG$30)</f>
        <v>#DIV/0!</v>
      </c>
      <c r="AH53" s="78" t="e">
        <f>AVERAGEIF($E$5:$E$30,$E53,AH$5:AH$30)</f>
        <v>#DIV/0!</v>
      </c>
      <c r="AI53" s="78" t="e">
        <f>AVERAGEIF($E$5:$E$30,$E53,AI$5:AI$30)</f>
        <v>#DIV/0!</v>
      </c>
      <c r="AJ53" s="78" t="e">
        <f>AVERAGEIF($E$5:$E$30,$E53,AJ$5:AJ$30)</f>
        <v>#DIV/0!</v>
      </c>
      <c r="AK53" s="78" t="e">
        <f>AVERAGEIF($E$5:$E$30,$E53,AK$5:AK$30)</f>
        <v>#DIV/0!</v>
      </c>
      <c r="AL53" s="78" t="e">
        <f>AVERAGEIF($E$5:$E$30,$E53,AL$5:AL$30)</f>
        <v>#DIV/0!</v>
      </c>
      <c r="AM53" s="78" t="e">
        <f>AVERAGEIF($E$5:$E$30,$E53,AM$5:AM$30)</f>
        <v>#DIV/0!</v>
      </c>
      <c r="AN53" s="78" t="e">
        <f>AVERAGEIF($E$5:$E$30,$E53,AN$5:AN$30)</f>
        <v>#DIV/0!</v>
      </c>
      <c r="AO53" s="78" t="e">
        <f>AVERAGEIF($E$5:$E$30,$E53,AO$5:AO$30)</f>
        <v>#DIV/0!</v>
      </c>
      <c r="AP53" s="78" t="e">
        <f>AVERAGEIF($E$5:$E$30,$E53,AP$5:AP$30)</f>
        <v>#DIV/0!</v>
      </c>
      <c r="AQ53" s="78" t="e">
        <f>AVERAGEIF($E$5:$E$30,$E53,AQ$5:AQ$30)</f>
        <v>#DIV/0!</v>
      </c>
      <c r="AR53" s="78" t="e">
        <f>AVERAGEIF($E$5:$E$30,$E53,AR$5:AR$30)</f>
        <v>#DIV/0!</v>
      </c>
      <c r="AS53" s="78" t="e">
        <f>AVERAGEIF($E$5:$E$30,$E53,AS$5:AS$30)</f>
        <v>#DIV/0!</v>
      </c>
      <c r="AT53" s="78" t="e">
        <f>AVERAGEIF($E$5:$E$30,$E53,AT$5:AT$30)</f>
        <v>#DIV/0!</v>
      </c>
      <c r="AU53" s="78" t="e">
        <f>AVERAGEIF($E$5:$E$30,$E53,AU$5:AU$30)</f>
        <v>#DIV/0!</v>
      </c>
      <c r="AV53" s="78" t="e">
        <f>AVERAGEIF($E$5:$E$30,$E53,AV$5:AV$30)</f>
        <v>#DIV/0!</v>
      </c>
      <c r="AW53" s="78" t="e">
        <f>AVERAGEIF($E$5:$E$30,$E53,AW$5:AW$30)</f>
        <v>#DIV/0!</v>
      </c>
      <c r="AX53" s="78" t="e">
        <f>AVERAGEIF($E$5:$E$30,$E53,AX$5:AX$30)</f>
        <v>#DIV/0!</v>
      </c>
      <c r="AY53" s="78" t="e">
        <f>AVERAGEIF($E$5:$E$30,$E53,AY$5:AY$30)</f>
        <v>#DIV/0!</v>
      </c>
      <c r="AZ53" s="78" t="e">
        <f>AVERAGEIF($E$5:$E$30,$E53,AZ$5:AZ$30)</f>
        <v>#DIV/0!</v>
      </c>
      <c r="BA53" s="78" t="e">
        <f>AVERAGEIF($E$5:$E$30,$E53,BA$5:BA$30)</f>
        <v>#DIV/0!</v>
      </c>
      <c r="BB53" s="78" t="e">
        <f>AVERAGEIF($E$5:$E$30,$E53,BB$5:BB$30)</f>
        <v>#DIV/0!</v>
      </c>
      <c r="BC53" s="78" t="e">
        <f>AVERAGEIF($E$5:$E$30,$E53,BC$5:BC$30)</f>
        <v>#DIV/0!</v>
      </c>
      <c r="BD53" s="103" t="s">
        <v>9</v>
      </c>
      <c r="BE53" s="73" t="e">
        <f>AVERAGEIF($E$5:$E$30,$E53,BE$5:BE$30)</f>
        <v>#DIV/0!</v>
      </c>
      <c r="BF53" s="73" t="e">
        <f>AVERAGEIF($E$5:$E$30,$E53,BF$5:BF$30)</f>
        <v>#DIV/0!</v>
      </c>
      <c r="BG53" s="73" t="e">
        <f>AVERAGEIF($E$5:$E$30,$E53,BG$5:BG$30)</f>
        <v>#DIV/0!</v>
      </c>
      <c r="BH53" s="73" t="e">
        <f>AVERAGEIF($E$5:$E$30,$E53,BH$5:BH$30)</f>
        <v>#DIV/0!</v>
      </c>
      <c r="BI53" s="73" t="e">
        <f>AVERAGEIF($E$5:$E$30,$E53,BI$5:BI$30)</f>
        <v>#DIV/0!</v>
      </c>
      <c r="BJ53" s="73" t="e">
        <f>AVERAGEIF($E$5:$E$30,$E53,BJ$5:BJ$30)</f>
        <v>#DIV/0!</v>
      </c>
      <c r="BK53" s="73" t="e">
        <f>AVERAGEIF($E$5:$E$30,$E53,BK$5:BK$30)</f>
        <v>#DIV/0!</v>
      </c>
      <c r="BL53" s="73" t="e">
        <f>AVERAGEIF($E$5:$E$30,$E53,BL$5:BL$30)</f>
        <v>#DIV/0!</v>
      </c>
      <c r="BM53" s="73" t="e">
        <f>AVERAGEIF($E$5:$E$30,$E53,BM$5:BM$30)</f>
        <v>#DIV/0!</v>
      </c>
      <c r="BN53" s="73" t="e">
        <f>AVERAGEIF($E$5:$E$30,$E53,BN$5:BN$30)</f>
        <v>#DIV/0!</v>
      </c>
      <c r="BO53" s="73" t="e">
        <f>AVERAGEIF($E$5:$E$30,$E53,BO$5:BO$30)</f>
        <v>#DIV/0!</v>
      </c>
      <c r="BP53" s="73" t="e">
        <f>AVERAGEIF($E$5:$E$30,$E53,BP$5:BP$30)</f>
        <v>#DIV/0!</v>
      </c>
      <c r="BQ53" s="73" t="e">
        <f>AVERAGEIF($E$5:$E$30,$E53,BQ$5:BQ$30)</f>
        <v>#DIV/0!</v>
      </c>
      <c r="BR53" s="73" t="e">
        <f>AVERAGEIF($E$5:$E$30,$E53,BR$5:BR$30)</f>
        <v>#DIV/0!</v>
      </c>
      <c r="BS53" s="73" t="e">
        <f>AVERAGEIF($E$5:$E$30,$E53,BS$5:BS$30)</f>
        <v>#DIV/0!</v>
      </c>
      <c r="BT53" s="73" t="e">
        <f>AVERAGEIF($E$5:$E$30,$E53,BT$5:BT$30)</f>
        <v>#DIV/0!</v>
      </c>
      <c r="BU53" s="73" t="e">
        <f>AVERAGEIF($E$5:$E$30,$E53,BU$5:BU$30)</f>
        <v>#DIV/0!</v>
      </c>
      <c r="BV53" s="73" t="e">
        <f>AVERAGEIF($E$5:$E$30,$E53,BV$5:BV$30)</f>
        <v>#DIV/0!</v>
      </c>
      <c r="BW53" s="73" t="e">
        <f>AVERAGEIF($E$5:$E$30,$E53,BW$5:BW$30)</f>
        <v>#DIV/0!</v>
      </c>
      <c r="BX53" s="73" t="e">
        <f>AVERAGEIF($E$5:$E$30,$E53,BX$5:BX$30)</f>
        <v>#DIV/0!</v>
      </c>
      <c r="BY53" s="73" t="e">
        <f>AVERAGEIF($E$5:$E$30,$E53,BY$5:BY$30)</f>
        <v>#DIV/0!</v>
      </c>
      <c r="BZ53" s="73" t="e">
        <f>AVERAGEIF($E$5:$E$30,$E53,BZ$5:BZ$30)</f>
        <v>#DIV/0!</v>
      </c>
      <c r="CA53" s="73" t="e">
        <f>AVERAGEIF($E$5:$E$30,$E53,CA$5:CA$30)</f>
        <v>#DIV/0!</v>
      </c>
      <c r="CB53" s="73" t="e">
        <f>AVERAGEIF($E$5:$E$30,$E53,CB$5:CB$30)</f>
        <v>#DIV/0!</v>
      </c>
      <c r="CC53" s="73" t="e">
        <f>AVERAGEIF($E$5:$E$30,$E53,CC$5:CC$30)</f>
        <v>#DIV/0!</v>
      </c>
      <c r="CD53" s="73" t="e">
        <f>AVERAGEIF($E$5:$E$30,$E53,CD$5:CD$30)</f>
        <v>#DIV/0!</v>
      </c>
      <c r="CE53" s="73" t="e">
        <f>AVERAGEIF($E$5:$E$30,$E53,CE$5:CE$30)</f>
        <v>#DIV/0!</v>
      </c>
      <c r="CF53" s="73" t="e">
        <f>AVERAGEIF($E$5:$E$30,$E53,CF$5:CF$30)</f>
        <v>#DIV/0!</v>
      </c>
      <c r="CG53" s="73" t="e">
        <f>AVERAGEIF($E$5:$E$30,$E53,CG$5:CG$30)</f>
        <v>#DIV/0!</v>
      </c>
      <c r="CH53" s="73" t="e">
        <f>AVERAGEIF($E$5:$E$30,$E53,CH$5:CH$30)</f>
        <v>#DIV/0!</v>
      </c>
      <c r="CI53" s="73" t="e">
        <f>AVERAGEIF($E$5:$E$30,$E53,CI$5:CI$30)</f>
        <v>#DIV/0!</v>
      </c>
      <c r="CJ53" s="73" t="e">
        <f>AVERAGEIF($E$5:$E$30,$E53,CJ$5:CJ$30)</f>
        <v>#DIV/0!</v>
      </c>
      <c r="CK53" s="73" t="e">
        <f>AVERAGEIF($E$5:$E$30,$E53,CK$5:CK$30)</f>
        <v>#DIV/0!</v>
      </c>
      <c r="CL53" s="73" t="e">
        <f>AVERAGEIF($E$5:$E$30,$E53,CL$5:CL$30)</f>
        <v>#DIV/0!</v>
      </c>
      <c r="CM53" s="73" t="e">
        <f>AVERAGEIF($E$5:$E$30,$E53,CM$5:CM$30)</f>
        <v>#DIV/0!</v>
      </c>
      <c r="CN53" s="73" t="e">
        <f>AVERAGEIF($E$5:$E$30,$E53,CN$5:CN$30)</f>
        <v>#DIV/0!</v>
      </c>
      <c r="CO53" s="73" t="e">
        <f>AVERAGEIF($E$5:$E$30,$E53,CO$5:CO$30)</f>
        <v>#DIV/0!</v>
      </c>
      <c r="CP53" s="73" t="e">
        <f>AVERAGEIF($E$5:$E$30,$E53,CP$5:CP$30)</f>
        <v>#DIV/0!</v>
      </c>
      <c r="CQ53" s="73" t="e">
        <f>AVERAGEIF($E$5:$E$30,$E53,CQ$5:CQ$30)</f>
        <v>#DIV/0!</v>
      </c>
      <c r="CR53" s="73" t="e">
        <f>AVERAGEIF($E$5:$E$30,$E53,CR$5:CR$30)</f>
        <v>#DIV/0!</v>
      </c>
      <c r="CS53" s="73" t="e">
        <f>AVERAGEIF($E$5:$E$30,$E53,CS$5:CS$30)</f>
        <v>#DIV/0!</v>
      </c>
      <c r="CT53" s="73" t="e">
        <f>AVERAGEIF($E$5:$E$30,$E53,CT$5:CT$30)</f>
        <v>#DIV/0!</v>
      </c>
      <c r="CU53" s="73" t="e">
        <f>AVERAGEIF($E$5:$E$30,$E53,CU$5:CU$30)</f>
        <v>#DIV/0!</v>
      </c>
      <c r="CV53" s="73" t="e">
        <f>AVERAGEIF($E$5:$E$30,$E53,CV$5:CV$30)</f>
        <v>#DIV/0!</v>
      </c>
      <c r="CW53" s="76"/>
    </row>
    <row r="54" spans="1:101" ht="14.25" customHeight="1">
      <c r="A54" s="113"/>
      <c r="E54" s="118"/>
      <c r="I54" s="93"/>
      <c r="J54" s="227" t="e">
        <f t="array" ref="J54">_xlfn.STDEV.P(IF($E$5:$E$30=$E53,J$5:J$30))</f>
        <v>#DIV/0!</v>
      </c>
      <c r="K54" s="72" t="s">
        <v>11</v>
      </c>
      <c r="L54" s="81" t="e">
        <f t="array" ref="L54">_xlfn.STDEV.P(IF($E$5:$E$30=$E53,L$5:L$30))</f>
        <v>#DIV/0!</v>
      </c>
      <c r="M54" s="81" t="e">
        <f t="array" ref="M54">_xlfn.STDEV.P(IF($E$5:$E$30=$E53,M$5:M$30))</f>
        <v>#DIV/0!</v>
      </c>
      <c r="N54" s="81" t="e">
        <f t="array" ref="N54">_xlfn.STDEV.P(IF($E$5:$E$30=$E53,N$5:N$30))</f>
        <v>#DIV/0!</v>
      </c>
      <c r="O54" s="81" t="e">
        <f t="array" ref="O54">_xlfn.STDEV.P(IF($E$5:$E$30=$E53,O$5:O$30))</f>
        <v>#DIV/0!</v>
      </c>
      <c r="P54" s="81" t="e">
        <f t="array" ref="P54">_xlfn.STDEV.P(IF($E$5:$E$30=$E53,P$5:P$30))</f>
        <v>#DIV/0!</v>
      </c>
      <c r="Q54" s="81" t="e">
        <f t="array" ref="Q54">_xlfn.STDEV.P(IF($E$5:$E$30=$E53,Q$5:Q$30))</f>
        <v>#DIV/0!</v>
      </c>
      <c r="R54" s="81" t="e">
        <f t="array" ref="R54">_xlfn.STDEV.P(IF($E$5:$E$30=$E53,R$5:R$30))</f>
        <v>#DIV/0!</v>
      </c>
      <c r="S54" s="81" t="e">
        <f t="array" ref="S54">_xlfn.STDEV.P(IF($E$5:$E$30=$E53,S$5:S$30))</f>
        <v>#DIV/0!</v>
      </c>
      <c r="T54" s="81" t="e">
        <f t="array" ref="T54">_xlfn.STDEV.P(IF($E$5:$E$30=$E53,T$5:T$30))</f>
        <v>#DIV/0!</v>
      </c>
      <c r="U54" s="81" t="e">
        <f t="array" ref="U54">_xlfn.STDEV.P(IF($E$5:$E$30=$E53,U$5:U$30))</f>
        <v>#DIV/0!</v>
      </c>
      <c r="V54" s="81" t="e">
        <f t="array" ref="V54">_xlfn.STDEV.P(IF($E$5:$E$30=$E53,V$5:V$30))</f>
        <v>#DIV/0!</v>
      </c>
      <c r="W54" s="81" t="e">
        <f t="array" ref="W54">_xlfn.STDEV.P(IF($E$5:$E$30=$E53,W$5:W$30))</f>
        <v>#DIV/0!</v>
      </c>
      <c r="X54" s="81" t="e">
        <f t="array" ref="X54">_xlfn.STDEV.P(IF($E$5:$E$30=$E53,X$5:X$30))</f>
        <v>#DIV/0!</v>
      </c>
      <c r="Y54" s="81" t="e">
        <f t="array" ref="Y54">_xlfn.STDEV.P(IF($E$5:$E$30=$E53,Y$5:Y$30))</f>
        <v>#DIV/0!</v>
      </c>
      <c r="Z54" s="81" t="e">
        <f t="array" ref="Z54">_xlfn.STDEV.P(IF($E$5:$E$30=$E53,Z$5:Z$30))</f>
        <v>#DIV/0!</v>
      </c>
      <c r="AA54" s="81" t="e">
        <f t="array" ref="AA54">_xlfn.STDEV.P(IF($E$5:$E$30=$E53,AA$5:AA$30))</f>
        <v>#DIV/0!</v>
      </c>
      <c r="AB54" s="81" t="e">
        <f t="array" ref="AB54">_xlfn.STDEV.P(IF($E$5:$E$30=$E53,AB$5:AB$30))</f>
        <v>#DIV/0!</v>
      </c>
      <c r="AC54" s="81" t="e">
        <f t="array" ref="AC54">_xlfn.STDEV.P(IF($E$5:$E$30=$E53,AC$5:AC$30))</f>
        <v>#DIV/0!</v>
      </c>
      <c r="AD54" s="81" t="e">
        <f t="array" ref="AD54">_xlfn.STDEV.P(IF($E$5:$E$30=$E53,AD$5:AD$30))</f>
        <v>#DIV/0!</v>
      </c>
      <c r="AE54" s="81" t="e">
        <f t="array" ref="AE54">_xlfn.STDEV.P(IF($E$5:$E$30=$E53,AE$5:AE$30))</f>
        <v>#DIV/0!</v>
      </c>
      <c r="AF54" s="81" t="e">
        <f t="array" ref="AF54">_xlfn.STDEV.P(IF($E$5:$E$30=$E53,AF$5:AF$30))</f>
        <v>#DIV/0!</v>
      </c>
      <c r="AG54" s="81" t="e">
        <f t="array" ref="AG54">_xlfn.STDEV.P(IF($E$5:$E$30=$E53,AG$5:AG$30))</f>
        <v>#DIV/0!</v>
      </c>
      <c r="AH54" s="81" t="e">
        <f t="array" ref="AH54">_xlfn.STDEV.P(IF($E$5:$E$30=$E53,AH$5:AH$30))</f>
        <v>#DIV/0!</v>
      </c>
      <c r="AI54" s="81" t="e">
        <f t="array" ref="AI54">_xlfn.STDEV.P(IF($E$5:$E$30=$E53,AI$5:AI$30))</f>
        <v>#DIV/0!</v>
      </c>
      <c r="AJ54" s="81" t="e">
        <f t="array" ref="AJ54">_xlfn.STDEV.P(IF($E$5:$E$30=$E53,AJ$5:AJ$30))</f>
        <v>#DIV/0!</v>
      </c>
      <c r="AK54" s="81" t="e">
        <f t="array" ref="AK54">_xlfn.STDEV.P(IF($E$5:$E$30=$E53,AK$5:AK$30))</f>
        <v>#DIV/0!</v>
      </c>
      <c r="AL54" s="81" t="e">
        <f t="array" ref="AL54">_xlfn.STDEV.P(IF($E$5:$E$30=$E53,AL$5:AL$30))</f>
        <v>#DIV/0!</v>
      </c>
      <c r="AM54" s="81" t="e">
        <f t="array" ref="AM54">_xlfn.STDEV.P(IF($E$5:$E$30=$E53,AM$5:AM$30))</f>
        <v>#DIV/0!</v>
      </c>
      <c r="AN54" s="81" t="e">
        <f t="array" ref="AN54">_xlfn.STDEV.P(IF($E$5:$E$30=$E53,AN$5:AN$30))</f>
        <v>#DIV/0!</v>
      </c>
      <c r="AO54" s="81" t="e">
        <f t="array" ref="AO54">_xlfn.STDEV.P(IF($E$5:$E$30=$E53,AO$5:AO$30))</f>
        <v>#DIV/0!</v>
      </c>
      <c r="AP54" s="81" t="e">
        <f t="array" ref="AP54">_xlfn.STDEV.P(IF($E$5:$E$30=$E53,AP$5:AP$30))</f>
        <v>#DIV/0!</v>
      </c>
      <c r="AQ54" s="81" t="e">
        <f t="array" ref="AQ54">_xlfn.STDEV.P(IF($E$5:$E$30=$E53,AQ$5:AQ$30))</f>
        <v>#DIV/0!</v>
      </c>
      <c r="AR54" s="81" t="e">
        <f t="array" ref="AR54">_xlfn.STDEV.P(IF($E$5:$E$30=$E53,AR$5:AR$30))</f>
        <v>#DIV/0!</v>
      </c>
      <c r="AS54" s="81" t="e">
        <f t="array" ref="AS54">_xlfn.STDEV.P(IF($E$5:$E$30=$E53,AS$5:AS$30))</f>
        <v>#DIV/0!</v>
      </c>
      <c r="AT54" s="81" t="e">
        <f t="array" ref="AT54">_xlfn.STDEV.P(IF($E$5:$E$30=$E53,AT$5:AT$30))</f>
        <v>#DIV/0!</v>
      </c>
      <c r="AU54" s="81" t="e">
        <f t="array" ref="AU54">_xlfn.STDEV.P(IF($E$5:$E$30=$E53,AU$5:AU$30))</f>
        <v>#DIV/0!</v>
      </c>
      <c r="AV54" s="81" t="e">
        <f t="array" ref="AV54">_xlfn.STDEV.P(IF($E$5:$E$30=$E53,AV$5:AV$30))</f>
        <v>#DIV/0!</v>
      </c>
      <c r="AW54" s="81" t="e">
        <f t="array" ref="AW54">_xlfn.STDEV.P(IF($E$5:$E$30=$E53,AW$5:AW$30))</f>
        <v>#DIV/0!</v>
      </c>
      <c r="AX54" s="81" t="e">
        <f t="array" ref="AX54">_xlfn.STDEV.P(IF($E$5:$E$30=$E53,AX$5:AX$30))</f>
        <v>#DIV/0!</v>
      </c>
      <c r="AY54" s="81" t="e">
        <f t="array" ref="AY54">_xlfn.STDEV.P(IF($E$5:$E$30=$E53,AY$5:AY$30))</f>
        <v>#DIV/0!</v>
      </c>
      <c r="AZ54" s="81" t="e">
        <f t="array" ref="AZ54">_xlfn.STDEV.P(IF($E$5:$E$30=$E53,AZ$5:AZ$30))</f>
        <v>#DIV/0!</v>
      </c>
      <c r="BA54" s="81" t="e">
        <f t="array" ref="BA54">_xlfn.STDEV.P(IF($E$5:$E$30=$E53,BA$5:BA$30))</f>
        <v>#DIV/0!</v>
      </c>
      <c r="BB54" s="81" t="e">
        <f t="array" ref="BB54">_xlfn.STDEV.P(IF($E$5:$E$30=$E53,BB$5:BB$30))</f>
        <v>#DIV/0!</v>
      </c>
      <c r="BC54" s="81" t="e">
        <f t="array" ref="BC54">_xlfn.STDEV.P(IF($E$5:$E$30=$E53,BC$5:BC$30))</f>
        <v>#DIV/0!</v>
      </c>
      <c r="BD54" s="104" t="s">
        <v>11</v>
      </c>
      <c r="BE54" s="74" t="e">
        <f t="array" ref="BE54">_xlfn.STDEV.P(IF($E$5:$E$30=$E53,BE$5:BE$30))</f>
        <v>#DIV/0!</v>
      </c>
      <c r="BF54" s="74" t="e">
        <f t="array" ref="BF54">_xlfn.STDEV.P(IF($E$5:$E$30=$E53,BF$5:BF$30))</f>
        <v>#DIV/0!</v>
      </c>
      <c r="BG54" s="74" t="e">
        <f t="array" ref="BG54">_xlfn.STDEV.P(IF($E$5:$E$30=$E53,BG$5:BG$30))</f>
        <v>#DIV/0!</v>
      </c>
      <c r="BH54" s="74" t="e">
        <f t="array" ref="BH54">_xlfn.STDEV.P(IF($E$5:$E$30=$E53,BH$5:BH$30))</f>
        <v>#DIV/0!</v>
      </c>
      <c r="BI54" s="74" t="e">
        <f t="array" ref="BI54">_xlfn.STDEV.P(IF($E$5:$E$30=$E53,BI$5:BI$30))</f>
        <v>#DIV/0!</v>
      </c>
      <c r="BJ54" s="74" t="e">
        <f t="array" ref="BJ54">_xlfn.STDEV.P(IF($E$5:$E$30=$E53,BJ$5:BJ$30))</f>
        <v>#DIV/0!</v>
      </c>
      <c r="BK54" s="74" t="e">
        <f t="array" ref="BK54">_xlfn.STDEV.P(IF($E$5:$E$30=$E53,BK$5:BK$30))</f>
        <v>#DIV/0!</v>
      </c>
      <c r="BL54" s="74" t="e">
        <f t="array" ref="BL54">_xlfn.STDEV.P(IF($E$5:$E$30=$E53,BL$5:BL$30))</f>
        <v>#DIV/0!</v>
      </c>
      <c r="BM54" s="74" t="e">
        <f t="array" ref="BM54">_xlfn.STDEV.P(IF($E$5:$E$30=$E53,BM$5:BM$30))</f>
        <v>#DIV/0!</v>
      </c>
      <c r="BN54" s="74" t="e">
        <f t="array" ref="BN54">_xlfn.STDEV.P(IF($E$5:$E$30=$E53,BN$5:BN$30))</f>
        <v>#DIV/0!</v>
      </c>
      <c r="BO54" s="74" t="e">
        <f t="array" ref="BO54">_xlfn.STDEV.P(IF($E$5:$E$30=$E53,BO$5:BO$30))</f>
        <v>#DIV/0!</v>
      </c>
      <c r="BP54" s="74" t="e">
        <f t="array" ref="BP54">_xlfn.STDEV.P(IF($E$5:$E$30=$E53,BP$5:BP$30))</f>
        <v>#DIV/0!</v>
      </c>
      <c r="BQ54" s="74" t="e">
        <f t="array" ref="BQ54">_xlfn.STDEV.P(IF($E$5:$E$30=$E53,BQ$5:BQ$30))</f>
        <v>#DIV/0!</v>
      </c>
      <c r="BR54" s="74" t="e">
        <f t="array" ref="BR54">_xlfn.STDEV.P(IF($E$5:$E$30=$E53,BR$5:BR$30))</f>
        <v>#DIV/0!</v>
      </c>
      <c r="BS54" s="74" t="e">
        <f t="array" ref="BS54">_xlfn.STDEV.P(IF($E$5:$E$30=$E53,BS$5:BS$30))</f>
        <v>#DIV/0!</v>
      </c>
      <c r="BT54" s="74" t="e">
        <f t="array" ref="BT54">_xlfn.STDEV.P(IF($E$5:$E$30=$E53,BT$5:BT$30))</f>
        <v>#DIV/0!</v>
      </c>
      <c r="BU54" s="74" t="e">
        <f t="array" ref="BU54">_xlfn.STDEV.P(IF($E$5:$E$30=$E53,BU$5:BU$30))</f>
        <v>#DIV/0!</v>
      </c>
      <c r="BV54" s="74" t="e">
        <f t="array" ref="BV54">_xlfn.STDEV.P(IF($E$5:$E$30=$E53,BV$5:BV$30))</f>
        <v>#DIV/0!</v>
      </c>
      <c r="BW54" s="74" t="e">
        <f t="array" ref="BW54">_xlfn.STDEV.P(IF($E$5:$E$30=$E53,BW$5:BW$30))</f>
        <v>#DIV/0!</v>
      </c>
      <c r="BX54" s="74" t="e">
        <f t="array" ref="BX54">_xlfn.STDEV.P(IF($E$5:$E$30=$E53,BX$5:BX$30))</f>
        <v>#DIV/0!</v>
      </c>
      <c r="BY54" s="74" t="e">
        <f t="array" ref="BY54">_xlfn.STDEV.P(IF($E$5:$E$30=$E53,BY$5:BY$30))</f>
        <v>#DIV/0!</v>
      </c>
      <c r="BZ54" s="74" t="e">
        <f t="array" ref="BZ54">_xlfn.STDEV.P(IF($E$5:$E$30=$E53,BZ$5:BZ$30))</f>
        <v>#DIV/0!</v>
      </c>
      <c r="CA54" s="74" t="e">
        <f t="array" ref="CA54">_xlfn.STDEV.P(IF($E$5:$E$30=$E53,CA$5:CA$30))</f>
        <v>#DIV/0!</v>
      </c>
      <c r="CB54" s="74" t="e">
        <f t="array" ref="CB54">_xlfn.STDEV.P(IF($E$5:$E$30=$E53,CB$5:CB$30))</f>
        <v>#DIV/0!</v>
      </c>
      <c r="CC54" s="74" t="e">
        <f t="array" ref="CC54">_xlfn.STDEV.P(IF($E$5:$E$30=$E53,CC$5:CC$30))</f>
        <v>#DIV/0!</v>
      </c>
      <c r="CD54" s="74" t="e">
        <f t="array" ref="CD54">_xlfn.STDEV.P(IF($E$5:$E$30=$E53,CD$5:CD$30))</f>
        <v>#DIV/0!</v>
      </c>
      <c r="CE54" s="74" t="e">
        <f t="array" ref="CE54">_xlfn.STDEV.P(IF($E$5:$E$30=$E53,CE$5:CE$30))</f>
        <v>#DIV/0!</v>
      </c>
      <c r="CF54" s="74" t="e">
        <f t="array" ref="CF54">_xlfn.STDEV.P(IF($E$5:$E$30=$E53,CF$5:CF$30))</f>
        <v>#DIV/0!</v>
      </c>
      <c r="CG54" s="74" t="e">
        <f t="array" ref="CG54">_xlfn.STDEV.P(IF($E$5:$E$30=$E53,CG$5:CG$30))</f>
        <v>#DIV/0!</v>
      </c>
      <c r="CH54" s="74" t="e">
        <f t="array" ref="CH54">_xlfn.STDEV.P(IF($E$5:$E$30=$E53,CH$5:CH$30))</f>
        <v>#DIV/0!</v>
      </c>
      <c r="CI54" s="74" t="e">
        <f t="array" ref="CI54">_xlfn.STDEV.P(IF($E$5:$E$30=$E53,CI$5:CI$30))</f>
        <v>#DIV/0!</v>
      </c>
      <c r="CJ54" s="74" t="e">
        <f t="array" ref="CJ54">_xlfn.STDEV.P(IF($E$5:$E$30=$E53,CJ$5:CJ$30))</f>
        <v>#DIV/0!</v>
      </c>
      <c r="CK54" s="74" t="e">
        <f t="array" ref="CK54">_xlfn.STDEV.P(IF($E$5:$E$30=$E53,CK$5:CK$30))</f>
        <v>#DIV/0!</v>
      </c>
      <c r="CL54" s="74" t="e">
        <f t="array" ref="CL54">_xlfn.STDEV.P(IF($E$5:$E$30=$E53,CL$5:CL$30))</f>
        <v>#DIV/0!</v>
      </c>
      <c r="CM54" s="74" t="e">
        <f t="array" ref="CM54">_xlfn.STDEV.P(IF($E$5:$E$30=$E53,CM$5:CM$30))</f>
        <v>#DIV/0!</v>
      </c>
      <c r="CN54" s="74" t="e">
        <f t="array" ref="CN54">_xlfn.STDEV.P(IF($E$5:$E$30=$E53,CN$5:CN$30))</f>
        <v>#DIV/0!</v>
      </c>
      <c r="CO54" s="74" t="e">
        <f t="array" ref="CO54">_xlfn.STDEV.P(IF($E$5:$E$30=$E53,CO$5:CO$30))</f>
        <v>#DIV/0!</v>
      </c>
      <c r="CP54" s="74" t="e">
        <f t="array" ref="CP54">_xlfn.STDEV.P(IF($E$5:$E$30=$E53,CP$5:CP$30))</f>
        <v>#DIV/0!</v>
      </c>
      <c r="CQ54" s="74" t="e">
        <f t="array" ref="CQ54">_xlfn.STDEV.P(IF($E$5:$E$30=$E53,CQ$5:CQ$30))</f>
        <v>#DIV/0!</v>
      </c>
      <c r="CR54" s="74" t="e">
        <f t="array" ref="CR54">_xlfn.STDEV.P(IF($E$5:$E$30=$E53,CR$5:CR$30))</f>
        <v>#DIV/0!</v>
      </c>
      <c r="CS54" s="74" t="e">
        <f t="array" ref="CS54">_xlfn.STDEV.P(IF($E$5:$E$30=$E53,CS$5:CS$30))</f>
        <v>#DIV/0!</v>
      </c>
      <c r="CT54" s="74" t="e">
        <f t="array" ref="CT54">_xlfn.STDEV.P(IF($E$5:$E$30=$E53,CT$5:CT$30))</f>
        <v>#DIV/0!</v>
      </c>
      <c r="CU54" s="74" t="e">
        <f t="array" ref="CU54">_xlfn.STDEV.P(IF($E$5:$E$30=$E53,CU$5:CU$30))</f>
        <v>#DIV/0!</v>
      </c>
      <c r="CV54" s="74" t="e">
        <f t="array" ref="CV54">_xlfn.STDEV.P(IF($E$5:$E$30=$E53,CV$5:CV$30))</f>
        <v>#DIV/0!</v>
      </c>
      <c r="CW54" s="76"/>
    </row>
    <row r="55" spans="1:101" ht="15">
      <c r="A55" s="113"/>
      <c r="E55" s="118"/>
      <c r="I55" s="52"/>
    </row>
    <row r="56" spans="1:101" ht="14.25" customHeight="1">
      <c r="A56" s="113"/>
      <c r="E56" s="118" t="str">
        <f>'FIG6 Groups'!C13</f>
        <v>Group 8</v>
      </c>
      <c r="I56" s="118" t="str">
        <f>E56</f>
        <v>Group 8</v>
      </c>
      <c r="J56" s="227" t="e">
        <f>AVERAGEIF($E$5:$E$30,$E56,J$5:J$30)</f>
        <v>#DIV/0!</v>
      </c>
      <c r="K56" s="72" t="s">
        <v>9</v>
      </c>
      <c r="L56" s="78" t="e">
        <f>AVERAGEIF($E$5:$E$30,$E56,L$5:L$30)</f>
        <v>#DIV/0!</v>
      </c>
      <c r="M56" s="78" t="e">
        <f>AVERAGEIF($E$5:$E$30,$E56,M$5:M$30)</f>
        <v>#DIV/0!</v>
      </c>
      <c r="N56" s="78" t="e">
        <f>AVERAGEIF($E$5:$E$30,$E56,N$5:N$30)</f>
        <v>#DIV/0!</v>
      </c>
      <c r="O56" s="78" t="e">
        <f>AVERAGEIF($E$5:$E$30,$E56,O$5:O$30)</f>
        <v>#DIV/0!</v>
      </c>
      <c r="P56" s="78" t="e">
        <f>AVERAGEIF($E$5:$E$30,$E56,P$5:P$30)</f>
        <v>#DIV/0!</v>
      </c>
      <c r="Q56" s="78" t="e">
        <f>AVERAGEIF($E$5:$E$30,$E56,Q$5:Q$30)</f>
        <v>#DIV/0!</v>
      </c>
      <c r="R56" s="78" t="e">
        <f>AVERAGEIF($E$5:$E$30,$E56,R$5:R$30)</f>
        <v>#DIV/0!</v>
      </c>
      <c r="S56" s="78" t="e">
        <f>AVERAGEIF($E$5:$E$30,$E56,S$5:S$30)</f>
        <v>#DIV/0!</v>
      </c>
      <c r="T56" s="78" t="e">
        <f>AVERAGEIF($E$5:$E$30,$E56,T$5:T$30)</f>
        <v>#DIV/0!</v>
      </c>
      <c r="U56" s="78" t="e">
        <f>AVERAGEIF($E$5:$E$30,$E56,U$5:U$30)</f>
        <v>#DIV/0!</v>
      </c>
      <c r="V56" s="78" t="e">
        <f>AVERAGEIF($E$5:$E$30,$E56,V$5:V$30)</f>
        <v>#DIV/0!</v>
      </c>
      <c r="W56" s="78" t="e">
        <f>AVERAGEIF($E$5:$E$30,$E56,W$5:W$30)</f>
        <v>#DIV/0!</v>
      </c>
      <c r="X56" s="78" t="e">
        <f>AVERAGEIF($E$5:$E$30,$E56,X$5:X$30)</f>
        <v>#DIV/0!</v>
      </c>
      <c r="Y56" s="78" t="e">
        <f>AVERAGEIF($E$5:$E$30,$E56,Y$5:Y$30)</f>
        <v>#DIV/0!</v>
      </c>
      <c r="Z56" s="78" t="e">
        <f>AVERAGEIF($E$5:$E$30,$E56,Z$5:Z$30)</f>
        <v>#DIV/0!</v>
      </c>
      <c r="AA56" s="78" t="e">
        <f>AVERAGEIF($E$5:$E$30,$E56,AA$5:AA$30)</f>
        <v>#DIV/0!</v>
      </c>
      <c r="AB56" s="78" t="e">
        <f>AVERAGEIF($E$5:$E$30,$E56,AB$5:AB$30)</f>
        <v>#DIV/0!</v>
      </c>
      <c r="AC56" s="78" t="e">
        <f>AVERAGEIF($E$5:$E$30,$E56,AC$5:AC$30)</f>
        <v>#DIV/0!</v>
      </c>
      <c r="AD56" s="78" t="e">
        <f>AVERAGEIF($E$5:$E$30,$E56,AD$5:AD$30)</f>
        <v>#DIV/0!</v>
      </c>
      <c r="AE56" s="78" t="e">
        <f>AVERAGEIF($E$5:$E$30,$E56,AE$5:AE$30)</f>
        <v>#DIV/0!</v>
      </c>
      <c r="AF56" s="78" t="e">
        <f>AVERAGEIF($E$5:$E$30,$E56,AF$5:AF$30)</f>
        <v>#DIV/0!</v>
      </c>
      <c r="AG56" s="78" t="e">
        <f>AVERAGEIF($E$5:$E$30,$E56,AG$5:AG$30)</f>
        <v>#DIV/0!</v>
      </c>
      <c r="AH56" s="78" t="e">
        <f>AVERAGEIF($E$5:$E$30,$E56,AH$5:AH$30)</f>
        <v>#DIV/0!</v>
      </c>
      <c r="AI56" s="78" t="e">
        <f>AVERAGEIF($E$5:$E$30,$E56,AI$5:AI$30)</f>
        <v>#DIV/0!</v>
      </c>
      <c r="AJ56" s="78" t="e">
        <f>AVERAGEIF($E$5:$E$30,$E56,AJ$5:AJ$30)</f>
        <v>#DIV/0!</v>
      </c>
      <c r="AK56" s="78" t="e">
        <f>AVERAGEIF($E$5:$E$30,$E56,AK$5:AK$30)</f>
        <v>#DIV/0!</v>
      </c>
      <c r="AL56" s="78" t="e">
        <f>AVERAGEIF($E$5:$E$30,$E56,AL$5:AL$30)</f>
        <v>#DIV/0!</v>
      </c>
      <c r="AM56" s="78" t="e">
        <f>AVERAGEIF($E$5:$E$30,$E56,AM$5:AM$30)</f>
        <v>#DIV/0!</v>
      </c>
      <c r="AN56" s="78" t="e">
        <f>AVERAGEIF($E$5:$E$30,$E56,AN$5:AN$30)</f>
        <v>#DIV/0!</v>
      </c>
      <c r="AO56" s="78" t="e">
        <f>AVERAGEIF($E$5:$E$30,$E56,AO$5:AO$30)</f>
        <v>#DIV/0!</v>
      </c>
      <c r="AP56" s="78" t="e">
        <f>AVERAGEIF($E$5:$E$30,$E56,AP$5:AP$30)</f>
        <v>#DIV/0!</v>
      </c>
      <c r="AQ56" s="78" t="e">
        <f>AVERAGEIF($E$5:$E$30,$E56,AQ$5:AQ$30)</f>
        <v>#DIV/0!</v>
      </c>
      <c r="AR56" s="78" t="e">
        <f>AVERAGEIF($E$5:$E$30,$E56,AR$5:AR$30)</f>
        <v>#DIV/0!</v>
      </c>
      <c r="AS56" s="78" t="e">
        <f>AVERAGEIF($E$5:$E$30,$E56,AS$5:AS$30)</f>
        <v>#DIV/0!</v>
      </c>
      <c r="AT56" s="78" t="e">
        <f>AVERAGEIF($E$5:$E$30,$E56,AT$5:AT$30)</f>
        <v>#DIV/0!</v>
      </c>
      <c r="AU56" s="78" t="e">
        <f>AVERAGEIF($E$5:$E$30,$E56,AU$5:AU$30)</f>
        <v>#DIV/0!</v>
      </c>
      <c r="AV56" s="78" t="e">
        <f>AVERAGEIF($E$5:$E$30,$E56,AV$5:AV$30)</f>
        <v>#DIV/0!</v>
      </c>
      <c r="AW56" s="78" t="e">
        <f>AVERAGEIF($E$5:$E$30,$E56,AW$5:AW$30)</f>
        <v>#DIV/0!</v>
      </c>
      <c r="AX56" s="78" t="e">
        <f>AVERAGEIF($E$5:$E$30,$E56,AX$5:AX$30)</f>
        <v>#DIV/0!</v>
      </c>
      <c r="AY56" s="78" t="e">
        <f>AVERAGEIF($E$5:$E$30,$E56,AY$5:AY$30)</f>
        <v>#DIV/0!</v>
      </c>
      <c r="AZ56" s="78" t="e">
        <f>AVERAGEIF($E$5:$E$30,$E56,AZ$5:AZ$30)</f>
        <v>#DIV/0!</v>
      </c>
      <c r="BA56" s="78" t="e">
        <f>AVERAGEIF($E$5:$E$30,$E56,BA$5:BA$30)</f>
        <v>#DIV/0!</v>
      </c>
      <c r="BB56" s="78" t="e">
        <f>AVERAGEIF($E$5:$E$30,$E56,BB$5:BB$30)</f>
        <v>#DIV/0!</v>
      </c>
      <c r="BC56" s="78" t="e">
        <f>AVERAGEIF($E$5:$E$30,$E56,BC$5:BC$30)</f>
        <v>#DIV/0!</v>
      </c>
      <c r="BD56" s="103" t="s">
        <v>9</v>
      </c>
      <c r="BE56" s="73" t="e">
        <f>AVERAGEIF($E$5:$E$30,$E56,BE$5:BE$30)</f>
        <v>#DIV/0!</v>
      </c>
      <c r="BF56" s="73" t="e">
        <f>AVERAGEIF($E$5:$E$30,$E56,BF$5:BF$30)</f>
        <v>#DIV/0!</v>
      </c>
      <c r="BG56" s="73" t="e">
        <f>AVERAGEIF($E$5:$E$30,$E56,BG$5:BG$30)</f>
        <v>#DIV/0!</v>
      </c>
      <c r="BH56" s="73" t="e">
        <f>AVERAGEIF($E$5:$E$30,$E56,BH$5:BH$30)</f>
        <v>#DIV/0!</v>
      </c>
      <c r="BI56" s="73" t="e">
        <f>AVERAGEIF($E$5:$E$30,$E56,BI$5:BI$30)</f>
        <v>#DIV/0!</v>
      </c>
      <c r="BJ56" s="73" t="e">
        <f>AVERAGEIF($E$5:$E$30,$E56,BJ$5:BJ$30)</f>
        <v>#DIV/0!</v>
      </c>
      <c r="BK56" s="73" t="e">
        <f>AVERAGEIF($E$5:$E$30,$E56,BK$5:BK$30)</f>
        <v>#DIV/0!</v>
      </c>
      <c r="BL56" s="73" t="e">
        <f>AVERAGEIF($E$5:$E$30,$E56,BL$5:BL$30)</f>
        <v>#DIV/0!</v>
      </c>
      <c r="BM56" s="73" t="e">
        <f>AVERAGEIF($E$5:$E$30,$E56,BM$5:BM$30)</f>
        <v>#DIV/0!</v>
      </c>
      <c r="BN56" s="73" t="e">
        <f>AVERAGEIF($E$5:$E$30,$E56,BN$5:BN$30)</f>
        <v>#DIV/0!</v>
      </c>
      <c r="BO56" s="73" t="e">
        <f>AVERAGEIF($E$5:$E$30,$E56,BO$5:BO$30)</f>
        <v>#DIV/0!</v>
      </c>
      <c r="BP56" s="73" t="e">
        <f>AVERAGEIF($E$5:$E$30,$E56,BP$5:BP$30)</f>
        <v>#DIV/0!</v>
      </c>
      <c r="BQ56" s="73" t="e">
        <f>AVERAGEIF($E$5:$E$30,$E56,BQ$5:BQ$30)</f>
        <v>#DIV/0!</v>
      </c>
      <c r="BR56" s="73" t="e">
        <f>AVERAGEIF($E$5:$E$30,$E56,BR$5:BR$30)</f>
        <v>#DIV/0!</v>
      </c>
      <c r="BS56" s="73" t="e">
        <f>AVERAGEIF($E$5:$E$30,$E56,BS$5:BS$30)</f>
        <v>#DIV/0!</v>
      </c>
      <c r="BT56" s="73" t="e">
        <f>AVERAGEIF($E$5:$E$30,$E56,BT$5:BT$30)</f>
        <v>#DIV/0!</v>
      </c>
      <c r="BU56" s="73" t="e">
        <f>AVERAGEIF($E$5:$E$30,$E56,BU$5:BU$30)</f>
        <v>#DIV/0!</v>
      </c>
      <c r="BV56" s="73" t="e">
        <f>AVERAGEIF($E$5:$E$30,$E56,BV$5:BV$30)</f>
        <v>#DIV/0!</v>
      </c>
      <c r="BW56" s="73" t="e">
        <f>AVERAGEIF($E$5:$E$30,$E56,BW$5:BW$30)</f>
        <v>#DIV/0!</v>
      </c>
      <c r="BX56" s="73" t="e">
        <f>AVERAGEIF($E$5:$E$30,$E56,BX$5:BX$30)</f>
        <v>#DIV/0!</v>
      </c>
      <c r="BY56" s="73" t="e">
        <f>AVERAGEIF($E$5:$E$30,$E56,BY$5:BY$30)</f>
        <v>#DIV/0!</v>
      </c>
      <c r="BZ56" s="73" t="e">
        <f>AVERAGEIF($E$5:$E$30,$E56,BZ$5:BZ$30)</f>
        <v>#DIV/0!</v>
      </c>
      <c r="CA56" s="73" t="e">
        <f>AVERAGEIF($E$5:$E$30,$E56,CA$5:CA$30)</f>
        <v>#DIV/0!</v>
      </c>
      <c r="CB56" s="73" t="e">
        <f>AVERAGEIF($E$5:$E$30,$E56,CB$5:CB$30)</f>
        <v>#DIV/0!</v>
      </c>
      <c r="CC56" s="73" t="e">
        <f>AVERAGEIF($E$5:$E$30,$E56,CC$5:CC$30)</f>
        <v>#DIV/0!</v>
      </c>
      <c r="CD56" s="73" t="e">
        <f>AVERAGEIF($E$5:$E$30,$E56,CD$5:CD$30)</f>
        <v>#DIV/0!</v>
      </c>
      <c r="CE56" s="73" t="e">
        <f>AVERAGEIF($E$5:$E$30,$E56,CE$5:CE$30)</f>
        <v>#DIV/0!</v>
      </c>
      <c r="CF56" s="73" t="e">
        <f>AVERAGEIF($E$5:$E$30,$E56,CF$5:CF$30)</f>
        <v>#DIV/0!</v>
      </c>
      <c r="CG56" s="73" t="e">
        <f>AVERAGEIF($E$5:$E$30,$E56,CG$5:CG$30)</f>
        <v>#DIV/0!</v>
      </c>
      <c r="CH56" s="73" t="e">
        <f>AVERAGEIF($E$5:$E$30,$E56,CH$5:CH$30)</f>
        <v>#DIV/0!</v>
      </c>
      <c r="CI56" s="73" t="e">
        <f>AVERAGEIF($E$5:$E$30,$E56,CI$5:CI$30)</f>
        <v>#DIV/0!</v>
      </c>
      <c r="CJ56" s="73" t="e">
        <f>AVERAGEIF($E$5:$E$30,$E56,CJ$5:CJ$30)</f>
        <v>#DIV/0!</v>
      </c>
      <c r="CK56" s="73" t="e">
        <f>AVERAGEIF($E$5:$E$30,$E56,CK$5:CK$30)</f>
        <v>#DIV/0!</v>
      </c>
      <c r="CL56" s="73" t="e">
        <f>AVERAGEIF($E$5:$E$30,$E56,CL$5:CL$30)</f>
        <v>#DIV/0!</v>
      </c>
      <c r="CM56" s="73" t="e">
        <f>AVERAGEIF($E$5:$E$30,$E56,CM$5:CM$30)</f>
        <v>#DIV/0!</v>
      </c>
      <c r="CN56" s="73" t="e">
        <f>AVERAGEIF($E$5:$E$30,$E56,CN$5:CN$30)</f>
        <v>#DIV/0!</v>
      </c>
      <c r="CO56" s="73" t="e">
        <f>AVERAGEIF($E$5:$E$30,$E56,CO$5:CO$30)</f>
        <v>#DIV/0!</v>
      </c>
      <c r="CP56" s="73" t="e">
        <f>AVERAGEIF($E$5:$E$30,$E56,CP$5:CP$30)</f>
        <v>#DIV/0!</v>
      </c>
      <c r="CQ56" s="73" t="e">
        <f>AVERAGEIF($E$5:$E$30,$E56,CQ$5:CQ$30)</f>
        <v>#DIV/0!</v>
      </c>
      <c r="CR56" s="73" t="e">
        <f>AVERAGEIF($E$5:$E$30,$E56,CR$5:CR$30)</f>
        <v>#DIV/0!</v>
      </c>
      <c r="CS56" s="73" t="e">
        <f>AVERAGEIF($E$5:$E$30,$E56,CS$5:CS$30)</f>
        <v>#DIV/0!</v>
      </c>
      <c r="CT56" s="73" t="e">
        <f>AVERAGEIF($E$5:$E$30,$E56,CT$5:CT$30)</f>
        <v>#DIV/0!</v>
      </c>
      <c r="CU56" s="73" t="e">
        <f>AVERAGEIF($E$5:$E$30,$E56,CU$5:CU$30)</f>
        <v>#DIV/0!</v>
      </c>
      <c r="CV56" s="73" t="e">
        <f>AVERAGEIF($E$5:$E$30,$E56,CV$5:CV$30)</f>
        <v>#DIV/0!</v>
      </c>
      <c r="CW56" s="76"/>
    </row>
    <row r="57" spans="1:101" ht="14.25" customHeight="1">
      <c r="A57" s="113"/>
      <c r="E57" s="93"/>
      <c r="I57" s="93"/>
      <c r="J57" s="227" t="e">
        <f t="array" ref="J57">_xlfn.STDEV.P(IF($E$5:$E$30=$E56,J$5:J$30))</f>
        <v>#DIV/0!</v>
      </c>
      <c r="K57" s="72" t="s">
        <v>11</v>
      </c>
      <c r="L57" s="81" t="e">
        <f t="array" ref="L57">_xlfn.STDEV.P(IF($E$5:$E$30=$E56,L$5:L$30))</f>
        <v>#DIV/0!</v>
      </c>
      <c r="M57" s="81" t="e">
        <f t="array" ref="M57">_xlfn.STDEV.P(IF($E$5:$E$30=$E56,M$5:M$30))</f>
        <v>#DIV/0!</v>
      </c>
      <c r="N57" s="81" t="e">
        <f t="array" ref="N57">_xlfn.STDEV.P(IF($E$5:$E$30=$E56,N$5:N$30))</f>
        <v>#DIV/0!</v>
      </c>
      <c r="O57" s="81" t="e">
        <f t="array" ref="O57">_xlfn.STDEV.P(IF($E$5:$E$30=$E56,O$5:O$30))</f>
        <v>#DIV/0!</v>
      </c>
      <c r="P57" s="81" t="e">
        <f t="array" ref="P57">_xlfn.STDEV.P(IF($E$5:$E$30=$E56,P$5:P$30))</f>
        <v>#DIV/0!</v>
      </c>
      <c r="Q57" s="81" t="e">
        <f t="array" ref="Q57">_xlfn.STDEV.P(IF($E$5:$E$30=$E56,Q$5:Q$30))</f>
        <v>#DIV/0!</v>
      </c>
      <c r="R57" s="81" t="e">
        <f t="array" ref="R57">_xlfn.STDEV.P(IF($E$5:$E$30=$E56,R$5:R$30))</f>
        <v>#DIV/0!</v>
      </c>
      <c r="S57" s="81" t="e">
        <f t="array" ref="S57">_xlfn.STDEV.P(IF($E$5:$E$30=$E56,S$5:S$30))</f>
        <v>#DIV/0!</v>
      </c>
      <c r="T57" s="81" t="e">
        <f t="array" ref="T57">_xlfn.STDEV.P(IF($E$5:$E$30=$E56,T$5:T$30))</f>
        <v>#DIV/0!</v>
      </c>
      <c r="U57" s="81" t="e">
        <f t="array" ref="U57">_xlfn.STDEV.P(IF($E$5:$E$30=$E56,U$5:U$30))</f>
        <v>#DIV/0!</v>
      </c>
      <c r="V57" s="81" t="e">
        <f t="array" ref="V57">_xlfn.STDEV.P(IF($E$5:$E$30=$E56,V$5:V$30))</f>
        <v>#DIV/0!</v>
      </c>
      <c r="W57" s="81" t="e">
        <f t="array" ref="W57">_xlfn.STDEV.P(IF($E$5:$E$30=$E56,W$5:W$30))</f>
        <v>#DIV/0!</v>
      </c>
      <c r="X57" s="81" t="e">
        <f t="array" ref="X57">_xlfn.STDEV.P(IF($E$5:$E$30=$E56,X$5:X$30))</f>
        <v>#DIV/0!</v>
      </c>
      <c r="Y57" s="81" t="e">
        <f t="array" ref="Y57">_xlfn.STDEV.P(IF($E$5:$E$30=$E56,Y$5:Y$30))</f>
        <v>#DIV/0!</v>
      </c>
      <c r="Z57" s="81" t="e">
        <f t="array" ref="Z57">_xlfn.STDEV.P(IF($E$5:$E$30=$E56,Z$5:Z$30))</f>
        <v>#DIV/0!</v>
      </c>
      <c r="AA57" s="81" t="e">
        <f t="array" ref="AA57">_xlfn.STDEV.P(IF($E$5:$E$30=$E56,AA$5:AA$30))</f>
        <v>#DIV/0!</v>
      </c>
      <c r="AB57" s="81" t="e">
        <f t="array" ref="AB57">_xlfn.STDEV.P(IF($E$5:$E$30=$E56,AB$5:AB$30))</f>
        <v>#DIV/0!</v>
      </c>
      <c r="AC57" s="81" t="e">
        <f t="array" ref="AC57">_xlfn.STDEV.P(IF($E$5:$E$30=$E56,AC$5:AC$30))</f>
        <v>#DIV/0!</v>
      </c>
      <c r="AD57" s="81" t="e">
        <f t="array" ref="AD57">_xlfn.STDEV.P(IF($E$5:$E$30=$E56,AD$5:AD$30))</f>
        <v>#DIV/0!</v>
      </c>
      <c r="AE57" s="81" t="e">
        <f t="array" ref="AE57">_xlfn.STDEV.P(IF($E$5:$E$30=$E56,AE$5:AE$30))</f>
        <v>#DIV/0!</v>
      </c>
      <c r="AF57" s="81" t="e">
        <f t="array" ref="AF57">_xlfn.STDEV.P(IF($E$5:$E$30=$E56,AF$5:AF$30))</f>
        <v>#DIV/0!</v>
      </c>
      <c r="AG57" s="81" t="e">
        <f t="array" ref="AG57">_xlfn.STDEV.P(IF($E$5:$E$30=$E56,AG$5:AG$30))</f>
        <v>#DIV/0!</v>
      </c>
      <c r="AH57" s="81" t="e">
        <f t="array" ref="AH57">_xlfn.STDEV.P(IF($E$5:$E$30=$E56,AH$5:AH$30))</f>
        <v>#DIV/0!</v>
      </c>
      <c r="AI57" s="81" t="e">
        <f t="array" ref="AI57">_xlfn.STDEV.P(IF($E$5:$E$30=$E56,AI$5:AI$30))</f>
        <v>#DIV/0!</v>
      </c>
      <c r="AJ57" s="81" t="e">
        <f t="array" ref="AJ57">_xlfn.STDEV.P(IF($E$5:$E$30=$E56,AJ$5:AJ$30))</f>
        <v>#DIV/0!</v>
      </c>
      <c r="AK57" s="81" t="e">
        <f t="array" ref="AK57">_xlfn.STDEV.P(IF($E$5:$E$30=$E56,AK$5:AK$30))</f>
        <v>#DIV/0!</v>
      </c>
      <c r="AL57" s="81" t="e">
        <f t="array" ref="AL57">_xlfn.STDEV.P(IF($E$5:$E$30=$E56,AL$5:AL$30))</f>
        <v>#DIV/0!</v>
      </c>
      <c r="AM57" s="81" t="e">
        <f t="array" ref="AM57">_xlfn.STDEV.P(IF($E$5:$E$30=$E56,AM$5:AM$30))</f>
        <v>#DIV/0!</v>
      </c>
      <c r="AN57" s="81" t="e">
        <f t="array" ref="AN57">_xlfn.STDEV.P(IF($E$5:$E$30=$E56,AN$5:AN$30))</f>
        <v>#DIV/0!</v>
      </c>
      <c r="AO57" s="81" t="e">
        <f t="array" ref="AO57">_xlfn.STDEV.P(IF($E$5:$E$30=$E56,AO$5:AO$30))</f>
        <v>#DIV/0!</v>
      </c>
      <c r="AP57" s="81" t="e">
        <f t="array" ref="AP57">_xlfn.STDEV.P(IF($E$5:$E$30=$E56,AP$5:AP$30))</f>
        <v>#DIV/0!</v>
      </c>
      <c r="AQ57" s="81" t="e">
        <f t="array" ref="AQ57">_xlfn.STDEV.P(IF($E$5:$E$30=$E56,AQ$5:AQ$30))</f>
        <v>#DIV/0!</v>
      </c>
      <c r="AR57" s="81" t="e">
        <f t="array" ref="AR57">_xlfn.STDEV.P(IF($E$5:$E$30=$E56,AR$5:AR$30))</f>
        <v>#DIV/0!</v>
      </c>
      <c r="AS57" s="81" t="e">
        <f t="array" ref="AS57">_xlfn.STDEV.P(IF($E$5:$E$30=$E56,AS$5:AS$30))</f>
        <v>#DIV/0!</v>
      </c>
      <c r="AT57" s="81" t="e">
        <f t="array" ref="AT57">_xlfn.STDEV.P(IF($E$5:$E$30=$E56,AT$5:AT$30))</f>
        <v>#DIV/0!</v>
      </c>
      <c r="AU57" s="81" t="e">
        <f t="array" ref="AU57">_xlfn.STDEV.P(IF($E$5:$E$30=$E56,AU$5:AU$30))</f>
        <v>#DIV/0!</v>
      </c>
      <c r="AV57" s="81" t="e">
        <f t="array" ref="AV57">_xlfn.STDEV.P(IF($E$5:$E$30=$E56,AV$5:AV$30))</f>
        <v>#DIV/0!</v>
      </c>
      <c r="AW57" s="81" t="e">
        <f t="array" ref="AW57">_xlfn.STDEV.P(IF($E$5:$E$30=$E56,AW$5:AW$30))</f>
        <v>#DIV/0!</v>
      </c>
      <c r="AX57" s="81" t="e">
        <f t="array" ref="AX57">_xlfn.STDEV.P(IF($E$5:$E$30=$E56,AX$5:AX$30))</f>
        <v>#DIV/0!</v>
      </c>
      <c r="AY57" s="81" t="e">
        <f t="array" ref="AY57">_xlfn.STDEV.P(IF($E$5:$E$30=$E56,AY$5:AY$30))</f>
        <v>#DIV/0!</v>
      </c>
      <c r="AZ57" s="81" t="e">
        <f t="array" ref="AZ57">_xlfn.STDEV.P(IF($E$5:$E$30=$E56,AZ$5:AZ$30))</f>
        <v>#DIV/0!</v>
      </c>
      <c r="BA57" s="81" t="e">
        <f t="array" ref="BA57">_xlfn.STDEV.P(IF($E$5:$E$30=$E56,BA$5:BA$30))</f>
        <v>#DIV/0!</v>
      </c>
      <c r="BB57" s="81" t="e">
        <f t="array" ref="BB57">_xlfn.STDEV.P(IF($E$5:$E$30=$E56,BB$5:BB$30))</f>
        <v>#DIV/0!</v>
      </c>
      <c r="BC57" s="81" t="e">
        <f t="array" ref="BC57">_xlfn.STDEV.P(IF($E$5:$E$30=$E56,BC$5:BC$30))</f>
        <v>#DIV/0!</v>
      </c>
      <c r="BD57" s="104" t="s">
        <v>11</v>
      </c>
      <c r="BE57" s="74" t="e">
        <f t="array" ref="BE57">_xlfn.STDEV.P(IF($E$5:$E$30=$E56,BE$5:BE$30))</f>
        <v>#DIV/0!</v>
      </c>
      <c r="BF57" s="74" t="e">
        <f t="array" ref="BF57">_xlfn.STDEV.P(IF($E$5:$E$30=$E56,BF$5:BF$30))</f>
        <v>#DIV/0!</v>
      </c>
      <c r="BG57" s="74" t="e">
        <f t="array" ref="BG57">_xlfn.STDEV.P(IF($E$5:$E$30=$E56,BG$5:BG$30))</f>
        <v>#DIV/0!</v>
      </c>
      <c r="BH57" s="74" t="e">
        <f t="array" ref="BH57">_xlfn.STDEV.P(IF($E$5:$E$30=$E56,BH$5:BH$30))</f>
        <v>#DIV/0!</v>
      </c>
      <c r="BI57" s="74" t="e">
        <f t="array" ref="BI57">_xlfn.STDEV.P(IF($E$5:$E$30=$E56,BI$5:BI$30))</f>
        <v>#DIV/0!</v>
      </c>
      <c r="BJ57" s="74" t="e">
        <f t="array" ref="BJ57">_xlfn.STDEV.P(IF($E$5:$E$30=$E56,BJ$5:BJ$30))</f>
        <v>#DIV/0!</v>
      </c>
      <c r="BK57" s="74" t="e">
        <f t="array" ref="BK57">_xlfn.STDEV.P(IF($E$5:$E$30=$E56,BK$5:BK$30))</f>
        <v>#DIV/0!</v>
      </c>
      <c r="BL57" s="74" t="e">
        <f t="array" ref="BL57">_xlfn.STDEV.P(IF($E$5:$E$30=$E56,BL$5:BL$30))</f>
        <v>#DIV/0!</v>
      </c>
      <c r="BM57" s="74" t="e">
        <f t="array" ref="BM57">_xlfn.STDEV.P(IF($E$5:$E$30=$E56,BM$5:BM$30))</f>
        <v>#DIV/0!</v>
      </c>
      <c r="BN57" s="74" t="e">
        <f t="array" ref="BN57">_xlfn.STDEV.P(IF($E$5:$E$30=$E56,BN$5:BN$30))</f>
        <v>#DIV/0!</v>
      </c>
      <c r="BO57" s="74" t="e">
        <f t="array" ref="BO57">_xlfn.STDEV.P(IF($E$5:$E$30=$E56,BO$5:BO$30))</f>
        <v>#DIV/0!</v>
      </c>
      <c r="BP57" s="74" t="e">
        <f t="array" ref="BP57">_xlfn.STDEV.P(IF($E$5:$E$30=$E56,BP$5:BP$30))</f>
        <v>#DIV/0!</v>
      </c>
      <c r="BQ57" s="74" t="e">
        <f t="array" ref="BQ57">_xlfn.STDEV.P(IF($E$5:$E$30=$E56,BQ$5:BQ$30))</f>
        <v>#DIV/0!</v>
      </c>
      <c r="BR57" s="74" t="e">
        <f t="array" ref="BR57">_xlfn.STDEV.P(IF($E$5:$E$30=$E56,BR$5:BR$30))</f>
        <v>#DIV/0!</v>
      </c>
      <c r="BS57" s="74" t="e">
        <f t="array" ref="BS57">_xlfn.STDEV.P(IF($E$5:$E$30=$E56,BS$5:BS$30))</f>
        <v>#DIV/0!</v>
      </c>
      <c r="BT57" s="74" t="e">
        <f t="array" ref="BT57">_xlfn.STDEV.P(IF($E$5:$E$30=$E56,BT$5:BT$30))</f>
        <v>#DIV/0!</v>
      </c>
      <c r="BU57" s="74" t="e">
        <f t="array" ref="BU57">_xlfn.STDEV.P(IF($E$5:$E$30=$E56,BU$5:BU$30))</f>
        <v>#DIV/0!</v>
      </c>
      <c r="BV57" s="74" t="e">
        <f t="array" ref="BV57">_xlfn.STDEV.P(IF($E$5:$E$30=$E56,BV$5:BV$30))</f>
        <v>#DIV/0!</v>
      </c>
      <c r="BW57" s="74" t="e">
        <f t="array" ref="BW57">_xlfn.STDEV.P(IF($E$5:$E$30=$E56,BW$5:BW$30))</f>
        <v>#DIV/0!</v>
      </c>
      <c r="BX57" s="74" t="e">
        <f t="array" ref="BX57">_xlfn.STDEV.P(IF($E$5:$E$30=$E56,BX$5:BX$30))</f>
        <v>#DIV/0!</v>
      </c>
      <c r="BY57" s="74" t="e">
        <f t="array" ref="BY57">_xlfn.STDEV.P(IF($E$5:$E$30=$E56,BY$5:BY$30))</f>
        <v>#DIV/0!</v>
      </c>
      <c r="BZ57" s="74" t="e">
        <f t="array" ref="BZ57">_xlfn.STDEV.P(IF($E$5:$E$30=$E56,BZ$5:BZ$30))</f>
        <v>#DIV/0!</v>
      </c>
      <c r="CA57" s="74" t="e">
        <f t="array" ref="CA57">_xlfn.STDEV.P(IF($E$5:$E$30=$E56,CA$5:CA$30))</f>
        <v>#DIV/0!</v>
      </c>
      <c r="CB57" s="74" t="e">
        <f t="array" ref="CB57">_xlfn.STDEV.P(IF($E$5:$E$30=$E56,CB$5:CB$30))</f>
        <v>#DIV/0!</v>
      </c>
      <c r="CC57" s="74" t="e">
        <f t="array" ref="CC57">_xlfn.STDEV.P(IF($E$5:$E$30=$E56,CC$5:CC$30))</f>
        <v>#DIV/0!</v>
      </c>
      <c r="CD57" s="74" t="e">
        <f t="array" ref="CD57">_xlfn.STDEV.P(IF($E$5:$E$30=$E56,CD$5:CD$30))</f>
        <v>#DIV/0!</v>
      </c>
      <c r="CE57" s="74" t="e">
        <f t="array" ref="CE57">_xlfn.STDEV.P(IF($E$5:$E$30=$E56,CE$5:CE$30))</f>
        <v>#DIV/0!</v>
      </c>
      <c r="CF57" s="74" t="e">
        <f t="array" ref="CF57">_xlfn.STDEV.P(IF($E$5:$E$30=$E56,CF$5:CF$30))</f>
        <v>#DIV/0!</v>
      </c>
      <c r="CG57" s="74" t="e">
        <f t="array" ref="CG57">_xlfn.STDEV.P(IF($E$5:$E$30=$E56,CG$5:CG$30))</f>
        <v>#DIV/0!</v>
      </c>
      <c r="CH57" s="74" t="e">
        <f t="array" ref="CH57">_xlfn.STDEV.P(IF($E$5:$E$30=$E56,CH$5:CH$30))</f>
        <v>#DIV/0!</v>
      </c>
      <c r="CI57" s="74" t="e">
        <f t="array" ref="CI57">_xlfn.STDEV.P(IF($E$5:$E$30=$E56,CI$5:CI$30))</f>
        <v>#DIV/0!</v>
      </c>
      <c r="CJ57" s="74" t="e">
        <f t="array" ref="CJ57">_xlfn.STDEV.P(IF($E$5:$E$30=$E56,CJ$5:CJ$30))</f>
        <v>#DIV/0!</v>
      </c>
      <c r="CK57" s="74" t="e">
        <f t="array" ref="CK57">_xlfn.STDEV.P(IF($E$5:$E$30=$E56,CK$5:CK$30))</f>
        <v>#DIV/0!</v>
      </c>
      <c r="CL57" s="74" t="e">
        <f t="array" ref="CL57">_xlfn.STDEV.P(IF($E$5:$E$30=$E56,CL$5:CL$30))</f>
        <v>#DIV/0!</v>
      </c>
      <c r="CM57" s="74" t="e">
        <f t="array" ref="CM57">_xlfn.STDEV.P(IF($E$5:$E$30=$E56,CM$5:CM$30))</f>
        <v>#DIV/0!</v>
      </c>
      <c r="CN57" s="74" t="e">
        <f t="array" ref="CN57">_xlfn.STDEV.P(IF($E$5:$E$30=$E56,CN$5:CN$30))</f>
        <v>#DIV/0!</v>
      </c>
      <c r="CO57" s="74" t="e">
        <f t="array" ref="CO57">_xlfn.STDEV.P(IF($E$5:$E$30=$E56,CO$5:CO$30))</f>
        <v>#DIV/0!</v>
      </c>
      <c r="CP57" s="74" t="e">
        <f t="array" ref="CP57">_xlfn.STDEV.P(IF($E$5:$E$30=$E56,CP$5:CP$30))</f>
        <v>#DIV/0!</v>
      </c>
      <c r="CQ57" s="74" t="e">
        <f t="array" ref="CQ57">_xlfn.STDEV.P(IF($E$5:$E$30=$E56,CQ$5:CQ$30))</f>
        <v>#DIV/0!</v>
      </c>
      <c r="CR57" s="74" t="e">
        <f t="array" ref="CR57">_xlfn.STDEV.P(IF($E$5:$E$30=$E56,CR$5:CR$30))</f>
        <v>#DIV/0!</v>
      </c>
      <c r="CS57" s="74" t="e">
        <f t="array" ref="CS57">_xlfn.STDEV.P(IF($E$5:$E$30=$E56,CS$5:CS$30))</f>
        <v>#DIV/0!</v>
      </c>
      <c r="CT57" s="74" t="e">
        <f t="array" ref="CT57">_xlfn.STDEV.P(IF($E$5:$E$30=$E56,CT$5:CT$30))</f>
        <v>#DIV/0!</v>
      </c>
      <c r="CU57" s="74" t="e">
        <f t="array" ref="CU57">_xlfn.STDEV.P(IF($E$5:$E$30=$E56,CU$5:CU$30))</f>
        <v>#DIV/0!</v>
      </c>
      <c r="CV57" s="74" t="e">
        <f t="array" ref="CV57">_xlfn.STDEV.P(IF($E$5:$E$30=$E56,CV$5:CV$30))</f>
        <v>#DIV/0!</v>
      </c>
      <c r="CW57" s="76"/>
    </row>
    <row r="58" spans="1:101" ht="15">
      <c r="A58" s="113"/>
      <c r="E58" s="52"/>
      <c r="I58" s="52"/>
    </row>
    <row r="59" spans="1:101" ht="14.25" customHeight="1">
      <c r="A59" s="113"/>
      <c r="E59" s="118" t="str">
        <f>'FIG6 Groups'!C14</f>
        <v>Group 9</v>
      </c>
      <c r="I59" s="118" t="str">
        <f>E59</f>
        <v>Group 9</v>
      </c>
      <c r="J59" s="227" t="e">
        <f>AVERAGEIF($E$5:$E$30,$E59,J$5:J$30)</f>
        <v>#DIV/0!</v>
      </c>
      <c r="K59" s="72" t="s">
        <v>9</v>
      </c>
      <c r="L59" s="78" t="e">
        <f>AVERAGEIF($E$5:$E$30,$E59,L$5:L$30)</f>
        <v>#DIV/0!</v>
      </c>
      <c r="M59" s="78" t="e">
        <f>AVERAGEIF($E$5:$E$30,$E59,M$5:M$30)</f>
        <v>#DIV/0!</v>
      </c>
      <c r="N59" s="78" t="e">
        <f>AVERAGEIF($E$5:$E$30,$E59,N$5:N$30)</f>
        <v>#DIV/0!</v>
      </c>
      <c r="O59" s="78" t="e">
        <f>AVERAGEIF($E$5:$E$30,$E59,O$5:O$30)</f>
        <v>#DIV/0!</v>
      </c>
      <c r="P59" s="78" t="e">
        <f>AVERAGEIF($E$5:$E$30,$E59,P$5:P$30)</f>
        <v>#DIV/0!</v>
      </c>
      <c r="Q59" s="78" t="e">
        <f>AVERAGEIF($E$5:$E$30,$E59,Q$5:Q$30)</f>
        <v>#DIV/0!</v>
      </c>
      <c r="R59" s="78" t="e">
        <f>AVERAGEIF($E$5:$E$30,$E59,R$5:R$30)</f>
        <v>#DIV/0!</v>
      </c>
      <c r="S59" s="78" t="e">
        <f>AVERAGEIF($E$5:$E$30,$E59,S$5:S$30)</f>
        <v>#DIV/0!</v>
      </c>
      <c r="T59" s="78" t="e">
        <f>AVERAGEIF($E$5:$E$30,$E59,T$5:T$30)</f>
        <v>#DIV/0!</v>
      </c>
      <c r="U59" s="78" t="e">
        <f>AVERAGEIF($E$5:$E$30,$E59,U$5:U$30)</f>
        <v>#DIV/0!</v>
      </c>
      <c r="V59" s="78" t="e">
        <f>AVERAGEIF($E$5:$E$30,$E59,V$5:V$30)</f>
        <v>#DIV/0!</v>
      </c>
      <c r="W59" s="78" t="e">
        <f>AVERAGEIF($E$5:$E$30,$E59,W$5:W$30)</f>
        <v>#DIV/0!</v>
      </c>
      <c r="X59" s="78" t="e">
        <f>AVERAGEIF($E$5:$E$30,$E59,X$5:X$30)</f>
        <v>#DIV/0!</v>
      </c>
      <c r="Y59" s="78" t="e">
        <f>AVERAGEIF($E$5:$E$30,$E59,Y$5:Y$30)</f>
        <v>#DIV/0!</v>
      </c>
      <c r="Z59" s="78" t="e">
        <f>AVERAGEIF($E$5:$E$30,$E59,Z$5:Z$30)</f>
        <v>#DIV/0!</v>
      </c>
      <c r="AA59" s="78" t="e">
        <f>AVERAGEIF($E$5:$E$30,$E59,AA$5:AA$30)</f>
        <v>#DIV/0!</v>
      </c>
      <c r="AB59" s="78" t="e">
        <f>AVERAGEIF($E$5:$E$30,$E59,AB$5:AB$30)</f>
        <v>#DIV/0!</v>
      </c>
      <c r="AC59" s="78" t="e">
        <f>AVERAGEIF($E$5:$E$30,$E59,AC$5:AC$30)</f>
        <v>#DIV/0!</v>
      </c>
      <c r="AD59" s="78" t="e">
        <f>AVERAGEIF($E$5:$E$30,$E59,AD$5:AD$30)</f>
        <v>#DIV/0!</v>
      </c>
      <c r="AE59" s="78" t="e">
        <f>AVERAGEIF($E$5:$E$30,$E59,AE$5:AE$30)</f>
        <v>#DIV/0!</v>
      </c>
      <c r="AF59" s="78" t="e">
        <f>AVERAGEIF($E$5:$E$30,$E59,AF$5:AF$30)</f>
        <v>#DIV/0!</v>
      </c>
      <c r="AG59" s="78" t="e">
        <f>AVERAGEIF($E$5:$E$30,$E59,AG$5:AG$30)</f>
        <v>#DIV/0!</v>
      </c>
      <c r="AH59" s="78" t="e">
        <f>AVERAGEIF($E$5:$E$30,$E59,AH$5:AH$30)</f>
        <v>#DIV/0!</v>
      </c>
      <c r="AI59" s="78" t="e">
        <f>AVERAGEIF($E$5:$E$30,$E59,AI$5:AI$30)</f>
        <v>#DIV/0!</v>
      </c>
      <c r="AJ59" s="78" t="e">
        <f>AVERAGEIF($E$5:$E$30,$E59,AJ$5:AJ$30)</f>
        <v>#DIV/0!</v>
      </c>
      <c r="AK59" s="78" t="e">
        <f>AVERAGEIF($E$5:$E$30,$E59,AK$5:AK$30)</f>
        <v>#DIV/0!</v>
      </c>
      <c r="AL59" s="78" t="e">
        <f>AVERAGEIF($E$5:$E$30,$E59,AL$5:AL$30)</f>
        <v>#DIV/0!</v>
      </c>
      <c r="AM59" s="78" t="e">
        <f>AVERAGEIF($E$5:$E$30,$E59,AM$5:AM$30)</f>
        <v>#DIV/0!</v>
      </c>
      <c r="AN59" s="78" t="e">
        <f>AVERAGEIF($E$5:$E$30,$E59,AN$5:AN$30)</f>
        <v>#DIV/0!</v>
      </c>
      <c r="AO59" s="78" t="e">
        <f>AVERAGEIF($E$5:$E$30,$E59,AO$5:AO$30)</f>
        <v>#DIV/0!</v>
      </c>
      <c r="AP59" s="78" t="e">
        <f>AVERAGEIF($E$5:$E$30,$E59,AP$5:AP$30)</f>
        <v>#DIV/0!</v>
      </c>
      <c r="AQ59" s="78" t="e">
        <f>AVERAGEIF($E$5:$E$30,$E59,AQ$5:AQ$30)</f>
        <v>#DIV/0!</v>
      </c>
      <c r="AR59" s="78" t="e">
        <f>AVERAGEIF($E$5:$E$30,$E59,AR$5:AR$30)</f>
        <v>#DIV/0!</v>
      </c>
      <c r="AS59" s="78" t="e">
        <f>AVERAGEIF($E$5:$E$30,$E59,AS$5:AS$30)</f>
        <v>#DIV/0!</v>
      </c>
      <c r="AT59" s="78" t="e">
        <f>AVERAGEIF($E$5:$E$30,$E59,AT$5:AT$30)</f>
        <v>#DIV/0!</v>
      </c>
      <c r="AU59" s="78" t="e">
        <f>AVERAGEIF($E$5:$E$30,$E59,AU$5:AU$30)</f>
        <v>#DIV/0!</v>
      </c>
      <c r="AV59" s="78" t="e">
        <f>AVERAGEIF($E$5:$E$30,$E59,AV$5:AV$30)</f>
        <v>#DIV/0!</v>
      </c>
      <c r="AW59" s="78" t="e">
        <f>AVERAGEIF($E$5:$E$30,$E59,AW$5:AW$30)</f>
        <v>#DIV/0!</v>
      </c>
      <c r="AX59" s="78" t="e">
        <f>AVERAGEIF($E$5:$E$30,$E59,AX$5:AX$30)</f>
        <v>#DIV/0!</v>
      </c>
      <c r="AY59" s="78" t="e">
        <f>AVERAGEIF($E$5:$E$30,$E59,AY$5:AY$30)</f>
        <v>#DIV/0!</v>
      </c>
      <c r="AZ59" s="78" t="e">
        <f>AVERAGEIF($E$5:$E$30,$E59,AZ$5:AZ$30)</f>
        <v>#DIV/0!</v>
      </c>
      <c r="BA59" s="78" t="e">
        <f>AVERAGEIF($E$5:$E$30,$E59,BA$5:BA$30)</f>
        <v>#DIV/0!</v>
      </c>
      <c r="BB59" s="78" t="e">
        <f>AVERAGEIF($E$5:$E$30,$E59,BB$5:BB$30)</f>
        <v>#DIV/0!</v>
      </c>
      <c r="BC59" s="78" t="e">
        <f>AVERAGEIF($E$5:$E$30,$E59,BC$5:BC$30)</f>
        <v>#DIV/0!</v>
      </c>
      <c r="BD59" s="103" t="s">
        <v>9</v>
      </c>
      <c r="BE59" s="73" t="e">
        <f>AVERAGEIF($E$5:$E$30,$E59,BE$5:BE$30)</f>
        <v>#DIV/0!</v>
      </c>
      <c r="BF59" s="73" t="e">
        <f>AVERAGEIF($E$5:$E$30,$E59,BF$5:BF$30)</f>
        <v>#DIV/0!</v>
      </c>
      <c r="BG59" s="73" t="e">
        <f>AVERAGEIF($E$5:$E$30,$E59,BG$5:BG$30)</f>
        <v>#DIV/0!</v>
      </c>
      <c r="BH59" s="73" t="e">
        <f>AVERAGEIF($E$5:$E$30,$E59,BH$5:BH$30)</f>
        <v>#DIV/0!</v>
      </c>
      <c r="BI59" s="73" t="e">
        <f>AVERAGEIF($E$5:$E$30,$E59,BI$5:BI$30)</f>
        <v>#DIV/0!</v>
      </c>
      <c r="BJ59" s="73" t="e">
        <f>AVERAGEIF($E$5:$E$30,$E59,BJ$5:BJ$30)</f>
        <v>#DIV/0!</v>
      </c>
      <c r="BK59" s="73" t="e">
        <f>AVERAGEIF($E$5:$E$30,$E59,BK$5:BK$30)</f>
        <v>#DIV/0!</v>
      </c>
      <c r="BL59" s="73" t="e">
        <f>AVERAGEIF($E$5:$E$30,$E59,BL$5:BL$30)</f>
        <v>#DIV/0!</v>
      </c>
      <c r="BM59" s="73" t="e">
        <f>AVERAGEIF($E$5:$E$30,$E59,BM$5:BM$30)</f>
        <v>#DIV/0!</v>
      </c>
      <c r="BN59" s="73" t="e">
        <f>AVERAGEIF($E$5:$E$30,$E59,BN$5:BN$30)</f>
        <v>#DIV/0!</v>
      </c>
      <c r="BO59" s="73" t="e">
        <f>AVERAGEIF($E$5:$E$30,$E59,BO$5:BO$30)</f>
        <v>#DIV/0!</v>
      </c>
      <c r="BP59" s="73" t="e">
        <f>AVERAGEIF($E$5:$E$30,$E59,BP$5:BP$30)</f>
        <v>#DIV/0!</v>
      </c>
      <c r="BQ59" s="73" t="e">
        <f>AVERAGEIF($E$5:$E$30,$E59,BQ$5:BQ$30)</f>
        <v>#DIV/0!</v>
      </c>
      <c r="BR59" s="73" t="e">
        <f>AVERAGEIF($E$5:$E$30,$E59,BR$5:BR$30)</f>
        <v>#DIV/0!</v>
      </c>
      <c r="BS59" s="73" t="e">
        <f>AVERAGEIF($E$5:$E$30,$E59,BS$5:BS$30)</f>
        <v>#DIV/0!</v>
      </c>
      <c r="BT59" s="73" t="e">
        <f>AVERAGEIF($E$5:$E$30,$E59,BT$5:BT$30)</f>
        <v>#DIV/0!</v>
      </c>
      <c r="BU59" s="73" t="e">
        <f>AVERAGEIF($E$5:$E$30,$E59,BU$5:BU$30)</f>
        <v>#DIV/0!</v>
      </c>
      <c r="BV59" s="73" t="e">
        <f>AVERAGEIF($E$5:$E$30,$E59,BV$5:BV$30)</f>
        <v>#DIV/0!</v>
      </c>
      <c r="BW59" s="73" t="e">
        <f>AVERAGEIF($E$5:$E$30,$E59,BW$5:BW$30)</f>
        <v>#DIV/0!</v>
      </c>
      <c r="BX59" s="73" t="e">
        <f>AVERAGEIF($E$5:$E$30,$E59,BX$5:BX$30)</f>
        <v>#DIV/0!</v>
      </c>
      <c r="BY59" s="73" t="e">
        <f>AVERAGEIF($E$5:$E$30,$E59,BY$5:BY$30)</f>
        <v>#DIV/0!</v>
      </c>
      <c r="BZ59" s="73" t="e">
        <f>AVERAGEIF($E$5:$E$30,$E59,BZ$5:BZ$30)</f>
        <v>#DIV/0!</v>
      </c>
      <c r="CA59" s="73" t="e">
        <f>AVERAGEIF($E$5:$E$30,$E59,CA$5:CA$30)</f>
        <v>#DIV/0!</v>
      </c>
      <c r="CB59" s="73" t="e">
        <f>AVERAGEIF($E$5:$E$30,$E59,CB$5:CB$30)</f>
        <v>#DIV/0!</v>
      </c>
      <c r="CC59" s="73" t="e">
        <f>AVERAGEIF($E$5:$E$30,$E59,CC$5:CC$30)</f>
        <v>#DIV/0!</v>
      </c>
      <c r="CD59" s="73" t="e">
        <f>AVERAGEIF($E$5:$E$30,$E59,CD$5:CD$30)</f>
        <v>#DIV/0!</v>
      </c>
      <c r="CE59" s="73" t="e">
        <f>AVERAGEIF($E$5:$E$30,$E59,CE$5:CE$30)</f>
        <v>#DIV/0!</v>
      </c>
      <c r="CF59" s="73" t="e">
        <f>AVERAGEIF($E$5:$E$30,$E59,CF$5:CF$30)</f>
        <v>#DIV/0!</v>
      </c>
      <c r="CG59" s="73" t="e">
        <f>AVERAGEIF($E$5:$E$30,$E59,CG$5:CG$30)</f>
        <v>#DIV/0!</v>
      </c>
      <c r="CH59" s="73" t="e">
        <f>AVERAGEIF($E$5:$E$30,$E59,CH$5:CH$30)</f>
        <v>#DIV/0!</v>
      </c>
      <c r="CI59" s="73" t="e">
        <f>AVERAGEIF($E$5:$E$30,$E59,CI$5:CI$30)</f>
        <v>#DIV/0!</v>
      </c>
      <c r="CJ59" s="73" t="e">
        <f>AVERAGEIF($E$5:$E$30,$E59,CJ$5:CJ$30)</f>
        <v>#DIV/0!</v>
      </c>
      <c r="CK59" s="73" t="e">
        <f>AVERAGEIF($E$5:$E$30,$E59,CK$5:CK$30)</f>
        <v>#DIV/0!</v>
      </c>
      <c r="CL59" s="73" t="e">
        <f>AVERAGEIF($E$5:$E$30,$E59,CL$5:CL$30)</f>
        <v>#DIV/0!</v>
      </c>
      <c r="CM59" s="73" t="e">
        <f>AVERAGEIF($E$5:$E$30,$E59,CM$5:CM$30)</f>
        <v>#DIV/0!</v>
      </c>
      <c r="CN59" s="73" t="e">
        <f>AVERAGEIF($E$5:$E$30,$E59,CN$5:CN$30)</f>
        <v>#DIV/0!</v>
      </c>
      <c r="CO59" s="73" t="e">
        <f>AVERAGEIF($E$5:$E$30,$E59,CO$5:CO$30)</f>
        <v>#DIV/0!</v>
      </c>
      <c r="CP59" s="73" t="e">
        <f>AVERAGEIF($E$5:$E$30,$E59,CP$5:CP$30)</f>
        <v>#DIV/0!</v>
      </c>
      <c r="CQ59" s="73" t="e">
        <f>AVERAGEIF($E$5:$E$30,$E59,CQ$5:CQ$30)</f>
        <v>#DIV/0!</v>
      </c>
      <c r="CR59" s="73" t="e">
        <f>AVERAGEIF($E$5:$E$30,$E59,CR$5:CR$30)</f>
        <v>#DIV/0!</v>
      </c>
      <c r="CS59" s="73" t="e">
        <f>AVERAGEIF($E$5:$E$30,$E59,CS$5:CS$30)</f>
        <v>#DIV/0!</v>
      </c>
      <c r="CT59" s="73" t="e">
        <f>AVERAGEIF($E$5:$E$30,$E59,CT$5:CT$30)</f>
        <v>#DIV/0!</v>
      </c>
      <c r="CU59" s="73" t="e">
        <f>AVERAGEIF($E$5:$E$30,$E59,CU$5:CU$30)</f>
        <v>#DIV/0!</v>
      </c>
      <c r="CV59" s="73" t="e">
        <f>AVERAGEIF($E$5:$E$30,$E59,CV$5:CV$30)</f>
        <v>#DIV/0!</v>
      </c>
      <c r="CW59" s="76"/>
    </row>
    <row r="60" spans="1:101" ht="14.25" customHeight="1">
      <c r="A60" s="113"/>
      <c r="E60" s="118"/>
      <c r="I60" s="93"/>
      <c r="J60" s="227" t="e">
        <f t="array" ref="J60">_xlfn.STDEV.P(IF($E$5:$E$30=$E59,J$5:J$30))</f>
        <v>#DIV/0!</v>
      </c>
      <c r="K60" s="72" t="s">
        <v>11</v>
      </c>
      <c r="L60" s="81" t="e">
        <f t="array" ref="L60">_xlfn.STDEV.P(IF($E$5:$E$30=$E59,L$5:L$30))</f>
        <v>#DIV/0!</v>
      </c>
      <c r="M60" s="81" t="e">
        <f t="array" ref="M60">_xlfn.STDEV.P(IF($E$5:$E$30=$E59,M$5:M$30))</f>
        <v>#DIV/0!</v>
      </c>
      <c r="N60" s="81" t="e">
        <f t="array" ref="N60">_xlfn.STDEV.P(IF($E$5:$E$30=$E59,N$5:N$30))</f>
        <v>#DIV/0!</v>
      </c>
      <c r="O60" s="81" t="e">
        <f t="array" ref="O60">_xlfn.STDEV.P(IF($E$5:$E$30=$E59,O$5:O$30))</f>
        <v>#DIV/0!</v>
      </c>
      <c r="P60" s="81" t="e">
        <f t="array" ref="P60">_xlfn.STDEV.P(IF($E$5:$E$30=$E59,P$5:P$30))</f>
        <v>#DIV/0!</v>
      </c>
      <c r="Q60" s="81" t="e">
        <f t="array" ref="Q60">_xlfn.STDEV.P(IF($E$5:$E$30=$E59,Q$5:Q$30))</f>
        <v>#DIV/0!</v>
      </c>
      <c r="R60" s="81" t="e">
        <f t="array" ref="R60">_xlfn.STDEV.P(IF($E$5:$E$30=$E59,R$5:R$30))</f>
        <v>#DIV/0!</v>
      </c>
      <c r="S60" s="81" t="e">
        <f t="array" ref="S60">_xlfn.STDEV.P(IF($E$5:$E$30=$E59,S$5:S$30))</f>
        <v>#DIV/0!</v>
      </c>
      <c r="T60" s="81" t="e">
        <f t="array" ref="T60">_xlfn.STDEV.P(IF($E$5:$E$30=$E59,T$5:T$30))</f>
        <v>#DIV/0!</v>
      </c>
      <c r="U60" s="81" t="e">
        <f t="array" ref="U60">_xlfn.STDEV.P(IF($E$5:$E$30=$E59,U$5:U$30))</f>
        <v>#DIV/0!</v>
      </c>
      <c r="V60" s="81" t="e">
        <f t="array" ref="V60">_xlfn.STDEV.P(IF($E$5:$E$30=$E59,V$5:V$30))</f>
        <v>#DIV/0!</v>
      </c>
      <c r="W60" s="81" t="e">
        <f t="array" ref="W60">_xlfn.STDEV.P(IF($E$5:$E$30=$E59,W$5:W$30))</f>
        <v>#DIV/0!</v>
      </c>
      <c r="X60" s="81" t="e">
        <f t="array" ref="X60">_xlfn.STDEV.P(IF($E$5:$E$30=$E59,X$5:X$30))</f>
        <v>#DIV/0!</v>
      </c>
      <c r="Y60" s="81" t="e">
        <f t="array" ref="Y60">_xlfn.STDEV.P(IF($E$5:$E$30=$E59,Y$5:Y$30))</f>
        <v>#DIV/0!</v>
      </c>
      <c r="Z60" s="81" t="e">
        <f t="array" ref="Z60">_xlfn.STDEV.P(IF($E$5:$E$30=$E59,Z$5:Z$30))</f>
        <v>#DIV/0!</v>
      </c>
      <c r="AA60" s="81" t="e">
        <f t="array" ref="AA60">_xlfn.STDEV.P(IF($E$5:$E$30=$E59,AA$5:AA$30))</f>
        <v>#DIV/0!</v>
      </c>
      <c r="AB60" s="81" t="e">
        <f t="array" ref="AB60">_xlfn.STDEV.P(IF($E$5:$E$30=$E59,AB$5:AB$30))</f>
        <v>#DIV/0!</v>
      </c>
      <c r="AC60" s="81" t="e">
        <f t="array" ref="AC60">_xlfn.STDEV.P(IF($E$5:$E$30=$E59,AC$5:AC$30))</f>
        <v>#DIV/0!</v>
      </c>
      <c r="AD60" s="81" t="e">
        <f t="array" ref="AD60">_xlfn.STDEV.P(IF($E$5:$E$30=$E59,AD$5:AD$30))</f>
        <v>#DIV/0!</v>
      </c>
      <c r="AE60" s="81" t="e">
        <f t="array" ref="AE60">_xlfn.STDEV.P(IF($E$5:$E$30=$E59,AE$5:AE$30))</f>
        <v>#DIV/0!</v>
      </c>
      <c r="AF60" s="81" t="e">
        <f t="array" ref="AF60">_xlfn.STDEV.P(IF($E$5:$E$30=$E59,AF$5:AF$30))</f>
        <v>#DIV/0!</v>
      </c>
      <c r="AG60" s="81" t="e">
        <f t="array" ref="AG60">_xlfn.STDEV.P(IF($E$5:$E$30=$E59,AG$5:AG$30))</f>
        <v>#DIV/0!</v>
      </c>
      <c r="AH60" s="81" t="e">
        <f t="array" ref="AH60">_xlfn.STDEV.P(IF($E$5:$E$30=$E59,AH$5:AH$30))</f>
        <v>#DIV/0!</v>
      </c>
      <c r="AI60" s="81" t="e">
        <f t="array" ref="AI60">_xlfn.STDEV.P(IF($E$5:$E$30=$E59,AI$5:AI$30))</f>
        <v>#DIV/0!</v>
      </c>
      <c r="AJ60" s="81" t="e">
        <f t="array" ref="AJ60">_xlfn.STDEV.P(IF($E$5:$E$30=$E59,AJ$5:AJ$30))</f>
        <v>#DIV/0!</v>
      </c>
      <c r="AK60" s="81" t="e">
        <f t="array" ref="AK60">_xlfn.STDEV.P(IF($E$5:$E$30=$E59,AK$5:AK$30))</f>
        <v>#DIV/0!</v>
      </c>
      <c r="AL60" s="81" t="e">
        <f t="array" ref="AL60">_xlfn.STDEV.P(IF($E$5:$E$30=$E59,AL$5:AL$30))</f>
        <v>#DIV/0!</v>
      </c>
      <c r="AM60" s="81" t="e">
        <f t="array" ref="AM60">_xlfn.STDEV.P(IF($E$5:$E$30=$E59,AM$5:AM$30))</f>
        <v>#DIV/0!</v>
      </c>
      <c r="AN60" s="81" t="e">
        <f t="array" ref="AN60">_xlfn.STDEV.P(IF($E$5:$E$30=$E59,AN$5:AN$30))</f>
        <v>#DIV/0!</v>
      </c>
      <c r="AO60" s="81" t="e">
        <f t="array" ref="AO60">_xlfn.STDEV.P(IF($E$5:$E$30=$E59,AO$5:AO$30))</f>
        <v>#DIV/0!</v>
      </c>
      <c r="AP60" s="81" t="e">
        <f t="array" ref="AP60">_xlfn.STDEV.P(IF($E$5:$E$30=$E59,AP$5:AP$30))</f>
        <v>#DIV/0!</v>
      </c>
      <c r="AQ60" s="81" t="e">
        <f t="array" ref="AQ60">_xlfn.STDEV.P(IF($E$5:$E$30=$E59,AQ$5:AQ$30))</f>
        <v>#DIV/0!</v>
      </c>
      <c r="AR60" s="81" t="e">
        <f t="array" ref="AR60">_xlfn.STDEV.P(IF($E$5:$E$30=$E59,AR$5:AR$30))</f>
        <v>#DIV/0!</v>
      </c>
      <c r="AS60" s="81" t="e">
        <f t="array" ref="AS60">_xlfn.STDEV.P(IF($E$5:$E$30=$E59,AS$5:AS$30))</f>
        <v>#DIV/0!</v>
      </c>
      <c r="AT60" s="81" t="e">
        <f t="array" ref="AT60">_xlfn.STDEV.P(IF($E$5:$E$30=$E59,AT$5:AT$30))</f>
        <v>#DIV/0!</v>
      </c>
      <c r="AU60" s="81" t="e">
        <f t="array" ref="AU60">_xlfn.STDEV.P(IF($E$5:$E$30=$E59,AU$5:AU$30))</f>
        <v>#DIV/0!</v>
      </c>
      <c r="AV60" s="81" t="e">
        <f t="array" ref="AV60">_xlfn.STDEV.P(IF($E$5:$E$30=$E59,AV$5:AV$30))</f>
        <v>#DIV/0!</v>
      </c>
      <c r="AW60" s="81" t="e">
        <f t="array" ref="AW60">_xlfn.STDEV.P(IF($E$5:$E$30=$E59,AW$5:AW$30))</f>
        <v>#DIV/0!</v>
      </c>
      <c r="AX60" s="81" t="e">
        <f t="array" ref="AX60">_xlfn.STDEV.P(IF($E$5:$E$30=$E59,AX$5:AX$30))</f>
        <v>#DIV/0!</v>
      </c>
      <c r="AY60" s="81" t="e">
        <f t="array" ref="AY60">_xlfn.STDEV.P(IF($E$5:$E$30=$E59,AY$5:AY$30))</f>
        <v>#DIV/0!</v>
      </c>
      <c r="AZ60" s="81" t="e">
        <f t="array" ref="AZ60">_xlfn.STDEV.P(IF($E$5:$E$30=$E59,AZ$5:AZ$30))</f>
        <v>#DIV/0!</v>
      </c>
      <c r="BA60" s="81" t="e">
        <f t="array" ref="BA60">_xlfn.STDEV.P(IF($E$5:$E$30=$E59,BA$5:BA$30))</f>
        <v>#DIV/0!</v>
      </c>
      <c r="BB60" s="81" t="e">
        <f t="array" ref="BB60">_xlfn.STDEV.P(IF($E$5:$E$30=$E59,BB$5:BB$30))</f>
        <v>#DIV/0!</v>
      </c>
      <c r="BC60" s="81" t="e">
        <f t="array" ref="BC60">_xlfn.STDEV.P(IF($E$5:$E$30=$E59,BC$5:BC$30))</f>
        <v>#DIV/0!</v>
      </c>
      <c r="BD60" s="104" t="s">
        <v>11</v>
      </c>
      <c r="BE60" s="74" t="e">
        <f t="array" ref="BE60">_xlfn.STDEV.P(IF($E$5:$E$30=$E59,BE$5:BE$30))</f>
        <v>#DIV/0!</v>
      </c>
      <c r="BF60" s="74" t="e">
        <f t="array" ref="BF60">_xlfn.STDEV.P(IF($E$5:$E$30=$E59,BF$5:BF$30))</f>
        <v>#DIV/0!</v>
      </c>
      <c r="BG60" s="74" t="e">
        <f t="array" ref="BG60">_xlfn.STDEV.P(IF($E$5:$E$30=$E59,BG$5:BG$30))</f>
        <v>#DIV/0!</v>
      </c>
      <c r="BH60" s="74" t="e">
        <f t="array" ref="BH60">_xlfn.STDEV.P(IF($E$5:$E$30=$E59,BH$5:BH$30))</f>
        <v>#DIV/0!</v>
      </c>
      <c r="BI60" s="74" t="e">
        <f t="array" ref="BI60">_xlfn.STDEV.P(IF($E$5:$E$30=$E59,BI$5:BI$30))</f>
        <v>#DIV/0!</v>
      </c>
      <c r="BJ60" s="74" t="e">
        <f t="array" ref="BJ60">_xlfn.STDEV.P(IF($E$5:$E$30=$E59,BJ$5:BJ$30))</f>
        <v>#DIV/0!</v>
      </c>
      <c r="BK60" s="74" t="e">
        <f t="array" ref="BK60">_xlfn.STDEV.P(IF($E$5:$E$30=$E59,BK$5:BK$30))</f>
        <v>#DIV/0!</v>
      </c>
      <c r="BL60" s="74" t="e">
        <f t="array" ref="BL60">_xlfn.STDEV.P(IF($E$5:$E$30=$E59,BL$5:BL$30))</f>
        <v>#DIV/0!</v>
      </c>
      <c r="BM60" s="74" t="e">
        <f t="array" ref="BM60">_xlfn.STDEV.P(IF($E$5:$E$30=$E59,BM$5:BM$30))</f>
        <v>#DIV/0!</v>
      </c>
      <c r="BN60" s="74" t="e">
        <f t="array" ref="BN60">_xlfn.STDEV.P(IF($E$5:$E$30=$E59,BN$5:BN$30))</f>
        <v>#DIV/0!</v>
      </c>
      <c r="BO60" s="74" t="e">
        <f t="array" ref="BO60">_xlfn.STDEV.P(IF($E$5:$E$30=$E59,BO$5:BO$30))</f>
        <v>#DIV/0!</v>
      </c>
      <c r="BP60" s="74" t="e">
        <f t="array" ref="BP60">_xlfn.STDEV.P(IF($E$5:$E$30=$E59,BP$5:BP$30))</f>
        <v>#DIV/0!</v>
      </c>
      <c r="BQ60" s="74" t="e">
        <f t="array" ref="BQ60">_xlfn.STDEV.P(IF($E$5:$E$30=$E59,BQ$5:BQ$30))</f>
        <v>#DIV/0!</v>
      </c>
      <c r="BR60" s="74" t="e">
        <f t="array" ref="BR60">_xlfn.STDEV.P(IF($E$5:$E$30=$E59,BR$5:BR$30))</f>
        <v>#DIV/0!</v>
      </c>
      <c r="BS60" s="74" t="e">
        <f t="array" ref="BS60">_xlfn.STDEV.P(IF($E$5:$E$30=$E59,BS$5:BS$30))</f>
        <v>#DIV/0!</v>
      </c>
      <c r="BT60" s="74" t="e">
        <f t="array" ref="BT60">_xlfn.STDEV.P(IF($E$5:$E$30=$E59,BT$5:BT$30))</f>
        <v>#DIV/0!</v>
      </c>
      <c r="BU60" s="74" t="e">
        <f t="array" ref="BU60">_xlfn.STDEV.P(IF($E$5:$E$30=$E59,BU$5:BU$30))</f>
        <v>#DIV/0!</v>
      </c>
      <c r="BV60" s="74" t="e">
        <f t="array" ref="BV60">_xlfn.STDEV.P(IF($E$5:$E$30=$E59,BV$5:BV$30))</f>
        <v>#DIV/0!</v>
      </c>
      <c r="BW60" s="74" t="e">
        <f t="array" ref="BW60">_xlfn.STDEV.P(IF($E$5:$E$30=$E59,BW$5:BW$30))</f>
        <v>#DIV/0!</v>
      </c>
      <c r="BX60" s="74" t="e">
        <f t="array" ref="BX60">_xlfn.STDEV.P(IF($E$5:$E$30=$E59,BX$5:BX$30))</f>
        <v>#DIV/0!</v>
      </c>
      <c r="BY60" s="74" t="e">
        <f t="array" ref="BY60">_xlfn.STDEV.P(IF($E$5:$E$30=$E59,BY$5:BY$30))</f>
        <v>#DIV/0!</v>
      </c>
      <c r="BZ60" s="74" t="e">
        <f t="array" ref="BZ60">_xlfn.STDEV.P(IF($E$5:$E$30=$E59,BZ$5:BZ$30))</f>
        <v>#DIV/0!</v>
      </c>
      <c r="CA60" s="74" t="e">
        <f t="array" ref="CA60">_xlfn.STDEV.P(IF($E$5:$E$30=$E59,CA$5:CA$30))</f>
        <v>#DIV/0!</v>
      </c>
      <c r="CB60" s="74" t="e">
        <f t="array" ref="CB60">_xlfn.STDEV.P(IF($E$5:$E$30=$E59,CB$5:CB$30))</f>
        <v>#DIV/0!</v>
      </c>
      <c r="CC60" s="74" t="e">
        <f t="array" ref="CC60">_xlfn.STDEV.P(IF($E$5:$E$30=$E59,CC$5:CC$30))</f>
        <v>#DIV/0!</v>
      </c>
      <c r="CD60" s="74" t="e">
        <f t="array" ref="CD60">_xlfn.STDEV.P(IF($E$5:$E$30=$E59,CD$5:CD$30))</f>
        <v>#DIV/0!</v>
      </c>
      <c r="CE60" s="74" t="e">
        <f t="array" ref="CE60">_xlfn.STDEV.P(IF($E$5:$E$30=$E59,CE$5:CE$30))</f>
        <v>#DIV/0!</v>
      </c>
      <c r="CF60" s="74" t="e">
        <f t="array" ref="CF60">_xlfn.STDEV.P(IF($E$5:$E$30=$E59,CF$5:CF$30))</f>
        <v>#DIV/0!</v>
      </c>
      <c r="CG60" s="74" t="e">
        <f t="array" ref="CG60">_xlfn.STDEV.P(IF($E$5:$E$30=$E59,CG$5:CG$30))</f>
        <v>#DIV/0!</v>
      </c>
      <c r="CH60" s="74" t="e">
        <f t="array" ref="CH60">_xlfn.STDEV.P(IF($E$5:$E$30=$E59,CH$5:CH$30))</f>
        <v>#DIV/0!</v>
      </c>
      <c r="CI60" s="74" t="e">
        <f t="array" ref="CI60">_xlfn.STDEV.P(IF($E$5:$E$30=$E59,CI$5:CI$30))</f>
        <v>#DIV/0!</v>
      </c>
      <c r="CJ60" s="74" t="e">
        <f t="array" ref="CJ60">_xlfn.STDEV.P(IF($E$5:$E$30=$E59,CJ$5:CJ$30))</f>
        <v>#DIV/0!</v>
      </c>
      <c r="CK60" s="74" t="e">
        <f t="array" ref="CK60">_xlfn.STDEV.P(IF($E$5:$E$30=$E59,CK$5:CK$30))</f>
        <v>#DIV/0!</v>
      </c>
      <c r="CL60" s="74" t="e">
        <f t="array" ref="CL60">_xlfn.STDEV.P(IF($E$5:$E$30=$E59,CL$5:CL$30))</f>
        <v>#DIV/0!</v>
      </c>
      <c r="CM60" s="74" t="e">
        <f t="array" ref="CM60">_xlfn.STDEV.P(IF($E$5:$E$30=$E59,CM$5:CM$30))</f>
        <v>#DIV/0!</v>
      </c>
      <c r="CN60" s="74" t="e">
        <f t="array" ref="CN60">_xlfn.STDEV.P(IF($E$5:$E$30=$E59,CN$5:CN$30))</f>
        <v>#DIV/0!</v>
      </c>
      <c r="CO60" s="74" t="e">
        <f t="array" ref="CO60">_xlfn.STDEV.P(IF($E$5:$E$30=$E59,CO$5:CO$30))</f>
        <v>#DIV/0!</v>
      </c>
      <c r="CP60" s="74" t="e">
        <f t="array" ref="CP60">_xlfn.STDEV.P(IF($E$5:$E$30=$E59,CP$5:CP$30))</f>
        <v>#DIV/0!</v>
      </c>
      <c r="CQ60" s="74" t="e">
        <f t="array" ref="CQ60">_xlfn.STDEV.P(IF($E$5:$E$30=$E59,CQ$5:CQ$30))</f>
        <v>#DIV/0!</v>
      </c>
      <c r="CR60" s="74" t="e">
        <f t="array" ref="CR60">_xlfn.STDEV.P(IF($E$5:$E$30=$E59,CR$5:CR$30))</f>
        <v>#DIV/0!</v>
      </c>
      <c r="CS60" s="74" t="e">
        <f t="array" ref="CS60">_xlfn.STDEV.P(IF($E$5:$E$30=$E59,CS$5:CS$30))</f>
        <v>#DIV/0!</v>
      </c>
      <c r="CT60" s="74" t="e">
        <f t="array" ref="CT60">_xlfn.STDEV.P(IF($E$5:$E$30=$E59,CT$5:CT$30))</f>
        <v>#DIV/0!</v>
      </c>
      <c r="CU60" s="74" t="e">
        <f t="array" ref="CU60">_xlfn.STDEV.P(IF($E$5:$E$30=$E59,CU$5:CU$30))</f>
        <v>#DIV/0!</v>
      </c>
      <c r="CV60" s="74" t="e">
        <f t="array" ref="CV60">_xlfn.STDEV.P(IF($E$5:$E$30=$E59,CV$5:CV$30))</f>
        <v>#DIV/0!</v>
      </c>
      <c r="CW60" s="76"/>
    </row>
    <row r="61" spans="1:101" ht="15">
      <c r="A61" s="113"/>
      <c r="E61" s="118"/>
      <c r="I61" s="52"/>
    </row>
    <row r="62" spans="1:101" ht="14.25" customHeight="1">
      <c r="A62" s="113"/>
      <c r="E62" s="118" t="str">
        <f>'FIG6 Groups'!C15</f>
        <v>Group 10</v>
      </c>
      <c r="I62" s="118" t="str">
        <f>E62</f>
        <v>Group 10</v>
      </c>
      <c r="J62" s="227" t="e">
        <f>AVERAGEIF($E$5:$E$30,$E62,J$5:J$30)</f>
        <v>#DIV/0!</v>
      </c>
      <c r="K62" s="72" t="s">
        <v>9</v>
      </c>
      <c r="L62" s="78" t="e">
        <f>AVERAGEIF($E$5:$E$30,$E62,L$5:L$30)</f>
        <v>#DIV/0!</v>
      </c>
      <c r="M62" s="78" t="e">
        <f>AVERAGEIF($E$5:$E$30,$E62,M$5:M$30)</f>
        <v>#DIV/0!</v>
      </c>
      <c r="N62" s="78" t="e">
        <f>AVERAGEIF($E$5:$E$30,$E62,N$5:N$30)</f>
        <v>#DIV/0!</v>
      </c>
      <c r="O62" s="78" t="e">
        <f>AVERAGEIF($E$5:$E$30,$E62,O$5:O$30)</f>
        <v>#DIV/0!</v>
      </c>
      <c r="P62" s="78" t="e">
        <f>AVERAGEIF($E$5:$E$30,$E62,P$5:P$30)</f>
        <v>#DIV/0!</v>
      </c>
      <c r="Q62" s="78" t="e">
        <f>AVERAGEIF($E$5:$E$30,$E62,Q$5:Q$30)</f>
        <v>#DIV/0!</v>
      </c>
      <c r="R62" s="78" t="e">
        <f>AVERAGEIF($E$5:$E$30,$E62,R$5:R$30)</f>
        <v>#DIV/0!</v>
      </c>
      <c r="S62" s="78" t="e">
        <f>AVERAGEIF($E$5:$E$30,$E62,S$5:S$30)</f>
        <v>#DIV/0!</v>
      </c>
      <c r="T62" s="78" t="e">
        <f>AVERAGEIF($E$5:$E$30,$E62,T$5:T$30)</f>
        <v>#DIV/0!</v>
      </c>
      <c r="U62" s="78" t="e">
        <f>AVERAGEIF($E$5:$E$30,$E62,U$5:U$30)</f>
        <v>#DIV/0!</v>
      </c>
      <c r="V62" s="78" t="e">
        <f>AVERAGEIF($E$5:$E$30,$E62,V$5:V$30)</f>
        <v>#DIV/0!</v>
      </c>
      <c r="W62" s="78" t="e">
        <f>AVERAGEIF($E$5:$E$30,$E62,W$5:W$30)</f>
        <v>#DIV/0!</v>
      </c>
      <c r="X62" s="78" t="e">
        <f>AVERAGEIF($E$5:$E$30,$E62,X$5:X$30)</f>
        <v>#DIV/0!</v>
      </c>
      <c r="Y62" s="78" t="e">
        <f>AVERAGEIF($E$5:$E$30,$E62,Y$5:Y$30)</f>
        <v>#DIV/0!</v>
      </c>
      <c r="Z62" s="78" t="e">
        <f>AVERAGEIF($E$5:$E$30,$E62,Z$5:Z$30)</f>
        <v>#DIV/0!</v>
      </c>
      <c r="AA62" s="78" t="e">
        <f>AVERAGEIF($E$5:$E$30,$E62,AA$5:AA$30)</f>
        <v>#DIV/0!</v>
      </c>
      <c r="AB62" s="78" t="e">
        <f>AVERAGEIF($E$5:$E$30,$E62,AB$5:AB$30)</f>
        <v>#DIV/0!</v>
      </c>
      <c r="AC62" s="78" t="e">
        <f>AVERAGEIF($E$5:$E$30,$E62,AC$5:AC$30)</f>
        <v>#DIV/0!</v>
      </c>
      <c r="AD62" s="78" t="e">
        <f>AVERAGEIF($E$5:$E$30,$E62,AD$5:AD$30)</f>
        <v>#DIV/0!</v>
      </c>
      <c r="AE62" s="78" t="e">
        <f>AVERAGEIF($E$5:$E$30,$E62,AE$5:AE$30)</f>
        <v>#DIV/0!</v>
      </c>
      <c r="AF62" s="78" t="e">
        <f>AVERAGEIF($E$5:$E$30,$E62,AF$5:AF$30)</f>
        <v>#DIV/0!</v>
      </c>
      <c r="AG62" s="78" t="e">
        <f>AVERAGEIF($E$5:$E$30,$E62,AG$5:AG$30)</f>
        <v>#DIV/0!</v>
      </c>
      <c r="AH62" s="78" t="e">
        <f>AVERAGEIF($E$5:$E$30,$E62,AH$5:AH$30)</f>
        <v>#DIV/0!</v>
      </c>
      <c r="AI62" s="78" t="e">
        <f>AVERAGEIF($E$5:$E$30,$E62,AI$5:AI$30)</f>
        <v>#DIV/0!</v>
      </c>
      <c r="AJ62" s="78" t="e">
        <f>AVERAGEIF($E$5:$E$30,$E62,AJ$5:AJ$30)</f>
        <v>#DIV/0!</v>
      </c>
      <c r="AK62" s="78" t="e">
        <f>AVERAGEIF($E$5:$E$30,$E62,AK$5:AK$30)</f>
        <v>#DIV/0!</v>
      </c>
      <c r="AL62" s="78" t="e">
        <f>AVERAGEIF($E$5:$E$30,$E62,AL$5:AL$30)</f>
        <v>#DIV/0!</v>
      </c>
      <c r="AM62" s="78" t="e">
        <f>AVERAGEIF($E$5:$E$30,$E62,AM$5:AM$30)</f>
        <v>#DIV/0!</v>
      </c>
      <c r="AN62" s="78" t="e">
        <f>AVERAGEIF($E$5:$E$30,$E62,AN$5:AN$30)</f>
        <v>#DIV/0!</v>
      </c>
      <c r="AO62" s="78" t="e">
        <f>AVERAGEIF($E$5:$E$30,$E62,AO$5:AO$30)</f>
        <v>#DIV/0!</v>
      </c>
      <c r="AP62" s="78" t="e">
        <f>AVERAGEIF($E$5:$E$30,$E62,AP$5:AP$30)</f>
        <v>#DIV/0!</v>
      </c>
      <c r="AQ62" s="78" t="e">
        <f>AVERAGEIF($E$5:$E$30,$E62,AQ$5:AQ$30)</f>
        <v>#DIV/0!</v>
      </c>
      <c r="AR62" s="78" t="e">
        <f>AVERAGEIF($E$5:$E$30,$E62,AR$5:AR$30)</f>
        <v>#DIV/0!</v>
      </c>
      <c r="AS62" s="78" t="e">
        <f>AVERAGEIF($E$5:$E$30,$E62,AS$5:AS$30)</f>
        <v>#DIV/0!</v>
      </c>
      <c r="AT62" s="78" t="e">
        <f>AVERAGEIF($E$5:$E$30,$E62,AT$5:AT$30)</f>
        <v>#DIV/0!</v>
      </c>
      <c r="AU62" s="78" t="e">
        <f>AVERAGEIF($E$5:$E$30,$E62,AU$5:AU$30)</f>
        <v>#DIV/0!</v>
      </c>
      <c r="AV62" s="78" t="e">
        <f>AVERAGEIF($E$5:$E$30,$E62,AV$5:AV$30)</f>
        <v>#DIV/0!</v>
      </c>
      <c r="AW62" s="78" t="e">
        <f>AVERAGEIF($E$5:$E$30,$E62,AW$5:AW$30)</f>
        <v>#DIV/0!</v>
      </c>
      <c r="AX62" s="78" t="e">
        <f>AVERAGEIF($E$5:$E$30,$E62,AX$5:AX$30)</f>
        <v>#DIV/0!</v>
      </c>
      <c r="AY62" s="78" t="e">
        <f>AVERAGEIF($E$5:$E$30,$E62,AY$5:AY$30)</f>
        <v>#DIV/0!</v>
      </c>
      <c r="AZ62" s="78" t="e">
        <f>AVERAGEIF($E$5:$E$30,$E62,AZ$5:AZ$30)</f>
        <v>#DIV/0!</v>
      </c>
      <c r="BA62" s="78" t="e">
        <f>AVERAGEIF($E$5:$E$30,$E62,BA$5:BA$30)</f>
        <v>#DIV/0!</v>
      </c>
      <c r="BB62" s="78" t="e">
        <f>AVERAGEIF($E$5:$E$30,$E62,BB$5:BB$30)</f>
        <v>#DIV/0!</v>
      </c>
      <c r="BC62" s="78" t="e">
        <f>AVERAGEIF($E$5:$E$30,$E62,BC$5:BC$30)</f>
        <v>#DIV/0!</v>
      </c>
      <c r="BD62" s="103" t="s">
        <v>9</v>
      </c>
      <c r="BE62" s="73" t="e">
        <f>AVERAGEIF($E$5:$E$30,$E62,BE$5:BE$30)</f>
        <v>#DIV/0!</v>
      </c>
      <c r="BF62" s="73" t="e">
        <f>AVERAGEIF($E$5:$E$30,$E62,BF$5:BF$30)</f>
        <v>#DIV/0!</v>
      </c>
      <c r="BG62" s="73" t="e">
        <f>AVERAGEIF($E$5:$E$30,$E62,BG$5:BG$30)</f>
        <v>#DIV/0!</v>
      </c>
      <c r="BH62" s="73" t="e">
        <f>AVERAGEIF($E$5:$E$30,$E62,BH$5:BH$30)</f>
        <v>#DIV/0!</v>
      </c>
      <c r="BI62" s="73" t="e">
        <f>AVERAGEIF($E$5:$E$30,$E62,BI$5:BI$30)</f>
        <v>#DIV/0!</v>
      </c>
      <c r="BJ62" s="73" t="e">
        <f>AVERAGEIF($E$5:$E$30,$E62,BJ$5:BJ$30)</f>
        <v>#DIV/0!</v>
      </c>
      <c r="BK62" s="73" t="e">
        <f>AVERAGEIF($E$5:$E$30,$E62,BK$5:BK$30)</f>
        <v>#DIV/0!</v>
      </c>
      <c r="BL62" s="73" t="e">
        <f>AVERAGEIF($E$5:$E$30,$E62,BL$5:BL$30)</f>
        <v>#DIV/0!</v>
      </c>
      <c r="BM62" s="73" t="e">
        <f>AVERAGEIF($E$5:$E$30,$E62,BM$5:BM$30)</f>
        <v>#DIV/0!</v>
      </c>
      <c r="BN62" s="73" t="e">
        <f>AVERAGEIF($E$5:$E$30,$E62,BN$5:BN$30)</f>
        <v>#DIV/0!</v>
      </c>
      <c r="BO62" s="73" t="e">
        <f>AVERAGEIF($E$5:$E$30,$E62,BO$5:BO$30)</f>
        <v>#DIV/0!</v>
      </c>
      <c r="BP62" s="73" t="e">
        <f>AVERAGEIF($E$5:$E$30,$E62,BP$5:BP$30)</f>
        <v>#DIV/0!</v>
      </c>
      <c r="BQ62" s="73" t="e">
        <f>AVERAGEIF($E$5:$E$30,$E62,BQ$5:BQ$30)</f>
        <v>#DIV/0!</v>
      </c>
      <c r="BR62" s="73" t="e">
        <f>AVERAGEIF($E$5:$E$30,$E62,BR$5:BR$30)</f>
        <v>#DIV/0!</v>
      </c>
      <c r="BS62" s="73" t="e">
        <f>AVERAGEIF($E$5:$E$30,$E62,BS$5:BS$30)</f>
        <v>#DIV/0!</v>
      </c>
      <c r="BT62" s="73" t="e">
        <f>AVERAGEIF($E$5:$E$30,$E62,BT$5:BT$30)</f>
        <v>#DIV/0!</v>
      </c>
      <c r="BU62" s="73" t="e">
        <f>AVERAGEIF($E$5:$E$30,$E62,BU$5:BU$30)</f>
        <v>#DIV/0!</v>
      </c>
      <c r="BV62" s="73" t="e">
        <f>AVERAGEIF($E$5:$E$30,$E62,BV$5:BV$30)</f>
        <v>#DIV/0!</v>
      </c>
      <c r="BW62" s="73" t="e">
        <f>AVERAGEIF($E$5:$E$30,$E62,BW$5:BW$30)</f>
        <v>#DIV/0!</v>
      </c>
      <c r="BX62" s="73" t="e">
        <f>AVERAGEIF($E$5:$E$30,$E62,BX$5:BX$30)</f>
        <v>#DIV/0!</v>
      </c>
      <c r="BY62" s="73" t="e">
        <f>AVERAGEIF($E$5:$E$30,$E62,BY$5:BY$30)</f>
        <v>#DIV/0!</v>
      </c>
      <c r="BZ62" s="73" t="e">
        <f>AVERAGEIF($E$5:$E$30,$E62,BZ$5:BZ$30)</f>
        <v>#DIV/0!</v>
      </c>
      <c r="CA62" s="73" t="e">
        <f>AVERAGEIF($E$5:$E$30,$E62,CA$5:CA$30)</f>
        <v>#DIV/0!</v>
      </c>
      <c r="CB62" s="73" t="e">
        <f>AVERAGEIF($E$5:$E$30,$E62,CB$5:CB$30)</f>
        <v>#DIV/0!</v>
      </c>
      <c r="CC62" s="73" t="e">
        <f>AVERAGEIF($E$5:$E$30,$E62,CC$5:CC$30)</f>
        <v>#DIV/0!</v>
      </c>
      <c r="CD62" s="73" t="e">
        <f>AVERAGEIF($E$5:$E$30,$E62,CD$5:CD$30)</f>
        <v>#DIV/0!</v>
      </c>
      <c r="CE62" s="73" t="e">
        <f>AVERAGEIF($E$5:$E$30,$E62,CE$5:CE$30)</f>
        <v>#DIV/0!</v>
      </c>
      <c r="CF62" s="73" t="e">
        <f>AVERAGEIF($E$5:$E$30,$E62,CF$5:CF$30)</f>
        <v>#DIV/0!</v>
      </c>
      <c r="CG62" s="73" t="e">
        <f>AVERAGEIF($E$5:$E$30,$E62,CG$5:CG$30)</f>
        <v>#DIV/0!</v>
      </c>
      <c r="CH62" s="73" t="e">
        <f>AVERAGEIF($E$5:$E$30,$E62,CH$5:CH$30)</f>
        <v>#DIV/0!</v>
      </c>
      <c r="CI62" s="73" t="e">
        <f>AVERAGEIF($E$5:$E$30,$E62,CI$5:CI$30)</f>
        <v>#DIV/0!</v>
      </c>
      <c r="CJ62" s="73" t="e">
        <f>AVERAGEIF($E$5:$E$30,$E62,CJ$5:CJ$30)</f>
        <v>#DIV/0!</v>
      </c>
      <c r="CK62" s="73" t="e">
        <f>AVERAGEIF($E$5:$E$30,$E62,CK$5:CK$30)</f>
        <v>#DIV/0!</v>
      </c>
      <c r="CL62" s="73" t="e">
        <f>AVERAGEIF($E$5:$E$30,$E62,CL$5:CL$30)</f>
        <v>#DIV/0!</v>
      </c>
      <c r="CM62" s="73" t="e">
        <f>AVERAGEIF($E$5:$E$30,$E62,CM$5:CM$30)</f>
        <v>#DIV/0!</v>
      </c>
      <c r="CN62" s="73" t="e">
        <f>AVERAGEIF($E$5:$E$30,$E62,CN$5:CN$30)</f>
        <v>#DIV/0!</v>
      </c>
      <c r="CO62" s="73" t="e">
        <f>AVERAGEIF($E$5:$E$30,$E62,CO$5:CO$30)</f>
        <v>#DIV/0!</v>
      </c>
      <c r="CP62" s="73" t="e">
        <f>AVERAGEIF($E$5:$E$30,$E62,CP$5:CP$30)</f>
        <v>#DIV/0!</v>
      </c>
      <c r="CQ62" s="73" t="e">
        <f>AVERAGEIF($E$5:$E$30,$E62,CQ$5:CQ$30)</f>
        <v>#DIV/0!</v>
      </c>
      <c r="CR62" s="73" t="e">
        <f>AVERAGEIF($E$5:$E$30,$E62,CR$5:CR$30)</f>
        <v>#DIV/0!</v>
      </c>
      <c r="CS62" s="73" t="e">
        <f>AVERAGEIF($E$5:$E$30,$E62,CS$5:CS$30)</f>
        <v>#DIV/0!</v>
      </c>
      <c r="CT62" s="73" t="e">
        <f>AVERAGEIF($E$5:$E$30,$E62,CT$5:CT$30)</f>
        <v>#DIV/0!</v>
      </c>
      <c r="CU62" s="73" t="e">
        <f>AVERAGEIF($E$5:$E$30,$E62,CU$5:CU$30)</f>
        <v>#DIV/0!</v>
      </c>
      <c r="CV62" s="73" t="e">
        <f>AVERAGEIF($E$5:$E$30,$E62,CV$5:CV$30)</f>
        <v>#DIV/0!</v>
      </c>
      <c r="CW62" s="76"/>
    </row>
    <row r="63" spans="1:101" ht="14.25" customHeight="1">
      <c r="A63" s="113"/>
      <c r="E63" s="93"/>
      <c r="I63" s="93"/>
      <c r="J63" s="227" t="e">
        <f t="array" ref="J63">_xlfn.STDEV.P(IF($E$5:$E$30=$E62,J$5:J$30))</f>
        <v>#DIV/0!</v>
      </c>
      <c r="K63" s="72" t="s">
        <v>11</v>
      </c>
      <c r="L63" s="81" t="e">
        <f t="array" ref="L63">_xlfn.STDEV.P(IF($E$5:$E$30=$E62,L$5:L$30))</f>
        <v>#DIV/0!</v>
      </c>
      <c r="M63" s="81" t="e">
        <f t="array" ref="M63">_xlfn.STDEV.P(IF($E$5:$E$30=$E62,M$5:M$30))</f>
        <v>#DIV/0!</v>
      </c>
      <c r="N63" s="81" t="e">
        <f t="array" ref="N63">_xlfn.STDEV.P(IF($E$5:$E$30=$E62,N$5:N$30))</f>
        <v>#DIV/0!</v>
      </c>
      <c r="O63" s="81" t="e">
        <f t="array" ref="O63">_xlfn.STDEV.P(IF($E$5:$E$30=$E62,O$5:O$30))</f>
        <v>#DIV/0!</v>
      </c>
      <c r="P63" s="81" t="e">
        <f t="array" ref="P63">_xlfn.STDEV.P(IF($E$5:$E$30=$E62,P$5:P$30))</f>
        <v>#DIV/0!</v>
      </c>
      <c r="Q63" s="81" t="e">
        <f t="array" ref="Q63">_xlfn.STDEV.P(IF($E$5:$E$30=$E62,Q$5:Q$30))</f>
        <v>#DIV/0!</v>
      </c>
      <c r="R63" s="81" t="e">
        <f t="array" ref="R63">_xlfn.STDEV.P(IF($E$5:$E$30=$E62,R$5:R$30))</f>
        <v>#DIV/0!</v>
      </c>
      <c r="S63" s="81" t="e">
        <f t="array" ref="S63">_xlfn.STDEV.P(IF($E$5:$E$30=$E62,S$5:S$30))</f>
        <v>#DIV/0!</v>
      </c>
      <c r="T63" s="81" t="e">
        <f t="array" ref="T63">_xlfn.STDEV.P(IF($E$5:$E$30=$E62,T$5:T$30))</f>
        <v>#DIV/0!</v>
      </c>
      <c r="U63" s="81" t="e">
        <f t="array" ref="U63">_xlfn.STDEV.P(IF($E$5:$E$30=$E62,U$5:U$30))</f>
        <v>#DIV/0!</v>
      </c>
      <c r="V63" s="81" t="e">
        <f t="array" ref="V63">_xlfn.STDEV.P(IF($E$5:$E$30=$E62,V$5:V$30))</f>
        <v>#DIV/0!</v>
      </c>
      <c r="W63" s="81" t="e">
        <f t="array" ref="W63">_xlfn.STDEV.P(IF($E$5:$E$30=$E62,W$5:W$30))</f>
        <v>#DIV/0!</v>
      </c>
      <c r="X63" s="81" t="e">
        <f t="array" ref="X63">_xlfn.STDEV.P(IF($E$5:$E$30=$E62,X$5:X$30))</f>
        <v>#DIV/0!</v>
      </c>
      <c r="Y63" s="81" t="e">
        <f t="array" ref="Y63">_xlfn.STDEV.P(IF($E$5:$E$30=$E62,Y$5:Y$30))</f>
        <v>#DIV/0!</v>
      </c>
      <c r="Z63" s="81" t="e">
        <f t="array" ref="Z63">_xlfn.STDEV.P(IF($E$5:$E$30=$E62,Z$5:Z$30))</f>
        <v>#DIV/0!</v>
      </c>
      <c r="AA63" s="81" t="e">
        <f t="array" ref="AA63">_xlfn.STDEV.P(IF($E$5:$E$30=$E62,AA$5:AA$30))</f>
        <v>#DIV/0!</v>
      </c>
      <c r="AB63" s="81" t="e">
        <f t="array" ref="AB63">_xlfn.STDEV.P(IF($E$5:$E$30=$E62,AB$5:AB$30))</f>
        <v>#DIV/0!</v>
      </c>
      <c r="AC63" s="81" t="e">
        <f t="array" ref="AC63">_xlfn.STDEV.P(IF($E$5:$E$30=$E62,AC$5:AC$30))</f>
        <v>#DIV/0!</v>
      </c>
      <c r="AD63" s="81" t="e">
        <f t="array" ref="AD63">_xlfn.STDEV.P(IF($E$5:$E$30=$E62,AD$5:AD$30))</f>
        <v>#DIV/0!</v>
      </c>
      <c r="AE63" s="81" t="e">
        <f t="array" ref="AE63">_xlfn.STDEV.P(IF($E$5:$E$30=$E62,AE$5:AE$30))</f>
        <v>#DIV/0!</v>
      </c>
      <c r="AF63" s="81" t="e">
        <f t="array" ref="AF63">_xlfn.STDEV.P(IF($E$5:$E$30=$E62,AF$5:AF$30))</f>
        <v>#DIV/0!</v>
      </c>
      <c r="AG63" s="81" t="e">
        <f t="array" ref="AG63">_xlfn.STDEV.P(IF($E$5:$E$30=$E62,AG$5:AG$30))</f>
        <v>#DIV/0!</v>
      </c>
      <c r="AH63" s="81" t="e">
        <f t="array" ref="AH63">_xlfn.STDEV.P(IF($E$5:$E$30=$E62,AH$5:AH$30))</f>
        <v>#DIV/0!</v>
      </c>
      <c r="AI63" s="81" t="e">
        <f t="array" ref="AI63">_xlfn.STDEV.P(IF($E$5:$E$30=$E62,AI$5:AI$30))</f>
        <v>#DIV/0!</v>
      </c>
      <c r="AJ63" s="81" t="e">
        <f t="array" ref="AJ63">_xlfn.STDEV.P(IF($E$5:$E$30=$E62,AJ$5:AJ$30))</f>
        <v>#DIV/0!</v>
      </c>
      <c r="AK63" s="81" t="e">
        <f t="array" ref="AK63">_xlfn.STDEV.P(IF($E$5:$E$30=$E62,AK$5:AK$30))</f>
        <v>#DIV/0!</v>
      </c>
      <c r="AL63" s="81" t="e">
        <f t="array" ref="AL63">_xlfn.STDEV.P(IF($E$5:$E$30=$E62,AL$5:AL$30))</f>
        <v>#DIV/0!</v>
      </c>
      <c r="AM63" s="81" t="e">
        <f t="array" ref="AM63">_xlfn.STDEV.P(IF($E$5:$E$30=$E62,AM$5:AM$30))</f>
        <v>#DIV/0!</v>
      </c>
      <c r="AN63" s="81" t="e">
        <f t="array" ref="AN63">_xlfn.STDEV.P(IF($E$5:$E$30=$E62,AN$5:AN$30))</f>
        <v>#DIV/0!</v>
      </c>
      <c r="AO63" s="81" t="e">
        <f t="array" ref="AO63">_xlfn.STDEV.P(IF($E$5:$E$30=$E62,AO$5:AO$30))</f>
        <v>#DIV/0!</v>
      </c>
      <c r="AP63" s="81" t="e">
        <f t="array" ref="AP63">_xlfn.STDEV.P(IF($E$5:$E$30=$E62,AP$5:AP$30))</f>
        <v>#DIV/0!</v>
      </c>
      <c r="AQ63" s="81" t="e">
        <f t="array" ref="AQ63">_xlfn.STDEV.P(IF($E$5:$E$30=$E62,AQ$5:AQ$30))</f>
        <v>#DIV/0!</v>
      </c>
      <c r="AR63" s="81" t="e">
        <f t="array" ref="AR63">_xlfn.STDEV.P(IF($E$5:$E$30=$E62,AR$5:AR$30))</f>
        <v>#DIV/0!</v>
      </c>
      <c r="AS63" s="81" t="e">
        <f t="array" ref="AS63">_xlfn.STDEV.P(IF($E$5:$E$30=$E62,AS$5:AS$30))</f>
        <v>#DIV/0!</v>
      </c>
      <c r="AT63" s="81" t="e">
        <f t="array" ref="AT63">_xlfn.STDEV.P(IF($E$5:$E$30=$E62,AT$5:AT$30))</f>
        <v>#DIV/0!</v>
      </c>
      <c r="AU63" s="81" t="e">
        <f t="array" ref="AU63">_xlfn.STDEV.P(IF($E$5:$E$30=$E62,AU$5:AU$30))</f>
        <v>#DIV/0!</v>
      </c>
      <c r="AV63" s="81" t="e">
        <f t="array" ref="AV63">_xlfn.STDEV.P(IF($E$5:$E$30=$E62,AV$5:AV$30))</f>
        <v>#DIV/0!</v>
      </c>
      <c r="AW63" s="81" t="e">
        <f t="array" ref="AW63">_xlfn.STDEV.P(IF($E$5:$E$30=$E62,AW$5:AW$30))</f>
        <v>#DIV/0!</v>
      </c>
      <c r="AX63" s="81" t="e">
        <f t="array" ref="AX63">_xlfn.STDEV.P(IF($E$5:$E$30=$E62,AX$5:AX$30))</f>
        <v>#DIV/0!</v>
      </c>
      <c r="AY63" s="81" t="e">
        <f t="array" ref="AY63">_xlfn.STDEV.P(IF($E$5:$E$30=$E62,AY$5:AY$30))</f>
        <v>#DIV/0!</v>
      </c>
      <c r="AZ63" s="81" t="e">
        <f t="array" ref="AZ63">_xlfn.STDEV.P(IF($E$5:$E$30=$E62,AZ$5:AZ$30))</f>
        <v>#DIV/0!</v>
      </c>
      <c r="BA63" s="81" t="e">
        <f t="array" ref="BA63">_xlfn.STDEV.P(IF($E$5:$E$30=$E62,BA$5:BA$30))</f>
        <v>#DIV/0!</v>
      </c>
      <c r="BB63" s="81" t="e">
        <f t="array" ref="BB63">_xlfn.STDEV.P(IF($E$5:$E$30=$E62,BB$5:BB$30))</f>
        <v>#DIV/0!</v>
      </c>
      <c r="BC63" s="81" t="e">
        <f t="array" ref="BC63">_xlfn.STDEV.P(IF($E$5:$E$30=$E62,BC$5:BC$30))</f>
        <v>#DIV/0!</v>
      </c>
      <c r="BD63" s="104" t="s">
        <v>11</v>
      </c>
      <c r="BE63" s="74" t="e">
        <f t="array" ref="BE63">_xlfn.STDEV.P(IF($E$5:$E$30=$E62,BE$5:BE$30))</f>
        <v>#DIV/0!</v>
      </c>
      <c r="BF63" s="74" t="e">
        <f t="array" ref="BF63">_xlfn.STDEV.P(IF($E$5:$E$30=$E62,BF$5:BF$30))</f>
        <v>#DIV/0!</v>
      </c>
      <c r="BG63" s="74" t="e">
        <f t="array" ref="BG63">_xlfn.STDEV.P(IF($E$5:$E$30=$E62,BG$5:BG$30))</f>
        <v>#DIV/0!</v>
      </c>
      <c r="BH63" s="74" t="e">
        <f t="array" ref="BH63">_xlfn.STDEV.P(IF($E$5:$E$30=$E62,BH$5:BH$30))</f>
        <v>#DIV/0!</v>
      </c>
      <c r="BI63" s="74" t="e">
        <f t="array" ref="BI63">_xlfn.STDEV.P(IF($E$5:$E$30=$E62,BI$5:BI$30))</f>
        <v>#DIV/0!</v>
      </c>
      <c r="BJ63" s="74" t="e">
        <f t="array" ref="BJ63">_xlfn.STDEV.P(IF($E$5:$E$30=$E62,BJ$5:BJ$30))</f>
        <v>#DIV/0!</v>
      </c>
      <c r="BK63" s="74" t="e">
        <f t="array" ref="BK63">_xlfn.STDEV.P(IF($E$5:$E$30=$E62,BK$5:BK$30))</f>
        <v>#DIV/0!</v>
      </c>
      <c r="BL63" s="74" t="e">
        <f t="array" ref="BL63">_xlfn.STDEV.P(IF($E$5:$E$30=$E62,BL$5:BL$30))</f>
        <v>#DIV/0!</v>
      </c>
      <c r="BM63" s="74" t="e">
        <f t="array" ref="BM63">_xlfn.STDEV.P(IF($E$5:$E$30=$E62,BM$5:BM$30))</f>
        <v>#DIV/0!</v>
      </c>
      <c r="BN63" s="74" t="e">
        <f t="array" ref="BN63">_xlfn.STDEV.P(IF($E$5:$E$30=$E62,BN$5:BN$30))</f>
        <v>#DIV/0!</v>
      </c>
      <c r="BO63" s="74" t="e">
        <f t="array" ref="BO63">_xlfn.STDEV.P(IF($E$5:$E$30=$E62,BO$5:BO$30))</f>
        <v>#DIV/0!</v>
      </c>
      <c r="BP63" s="74" t="e">
        <f t="array" ref="BP63">_xlfn.STDEV.P(IF($E$5:$E$30=$E62,BP$5:BP$30))</f>
        <v>#DIV/0!</v>
      </c>
      <c r="BQ63" s="74" t="e">
        <f t="array" ref="BQ63">_xlfn.STDEV.P(IF($E$5:$E$30=$E62,BQ$5:BQ$30))</f>
        <v>#DIV/0!</v>
      </c>
      <c r="BR63" s="74" t="e">
        <f t="array" ref="BR63">_xlfn.STDEV.P(IF($E$5:$E$30=$E62,BR$5:BR$30))</f>
        <v>#DIV/0!</v>
      </c>
      <c r="BS63" s="74" t="e">
        <f t="array" ref="BS63">_xlfn.STDEV.P(IF($E$5:$E$30=$E62,BS$5:BS$30))</f>
        <v>#DIV/0!</v>
      </c>
      <c r="BT63" s="74" t="e">
        <f t="array" ref="BT63">_xlfn.STDEV.P(IF($E$5:$E$30=$E62,BT$5:BT$30))</f>
        <v>#DIV/0!</v>
      </c>
      <c r="BU63" s="74" t="e">
        <f t="array" ref="BU63">_xlfn.STDEV.P(IF($E$5:$E$30=$E62,BU$5:BU$30))</f>
        <v>#DIV/0!</v>
      </c>
      <c r="BV63" s="74" t="e">
        <f t="array" ref="BV63">_xlfn.STDEV.P(IF($E$5:$E$30=$E62,BV$5:BV$30))</f>
        <v>#DIV/0!</v>
      </c>
      <c r="BW63" s="74" t="e">
        <f t="array" ref="BW63">_xlfn.STDEV.P(IF($E$5:$E$30=$E62,BW$5:BW$30))</f>
        <v>#DIV/0!</v>
      </c>
      <c r="BX63" s="74" t="e">
        <f t="array" ref="BX63">_xlfn.STDEV.P(IF($E$5:$E$30=$E62,BX$5:BX$30))</f>
        <v>#DIV/0!</v>
      </c>
      <c r="BY63" s="74" t="e">
        <f t="array" ref="BY63">_xlfn.STDEV.P(IF($E$5:$E$30=$E62,BY$5:BY$30))</f>
        <v>#DIV/0!</v>
      </c>
      <c r="BZ63" s="74" t="e">
        <f t="array" ref="BZ63">_xlfn.STDEV.P(IF($E$5:$E$30=$E62,BZ$5:BZ$30))</f>
        <v>#DIV/0!</v>
      </c>
      <c r="CA63" s="74" t="e">
        <f t="array" ref="CA63">_xlfn.STDEV.P(IF($E$5:$E$30=$E62,CA$5:CA$30))</f>
        <v>#DIV/0!</v>
      </c>
      <c r="CB63" s="74" t="e">
        <f t="array" ref="CB63">_xlfn.STDEV.P(IF($E$5:$E$30=$E62,CB$5:CB$30))</f>
        <v>#DIV/0!</v>
      </c>
      <c r="CC63" s="74" t="e">
        <f t="array" ref="CC63">_xlfn.STDEV.P(IF($E$5:$E$30=$E62,CC$5:CC$30))</f>
        <v>#DIV/0!</v>
      </c>
      <c r="CD63" s="74" t="e">
        <f t="array" ref="CD63">_xlfn.STDEV.P(IF($E$5:$E$30=$E62,CD$5:CD$30))</f>
        <v>#DIV/0!</v>
      </c>
      <c r="CE63" s="74" t="e">
        <f t="array" ref="CE63">_xlfn.STDEV.P(IF($E$5:$E$30=$E62,CE$5:CE$30))</f>
        <v>#DIV/0!</v>
      </c>
      <c r="CF63" s="74" t="e">
        <f t="array" ref="CF63">_xlfn.STDEV.P(IF($E$5:$E$30=$E62,CF$5:CF$30))</f>
        <v>#DIV/0!</v>
      </c>
      <c r="CG63" s="74" t="e">
        <f t="array" ref="CG63">_xlfn.STDEV.P(IF($E$5:$E$30=$E62,CG$5:CG$30))</f>
        <v>#DIV/0!</v>
      </c>
      <c r="CH63" s="74" t="e">
        <f t="array" ref="CH63">_xlfn.STDEV.P(IF($E$5:$E$30=$E62,CH$5:CH$30))</f>
        <v>#DIV/0!</v>
      </c>
      <c r="CI63" s="74" t="e">
        <f t="array" ref="CI63">_xlfn.STDEV.P(IF($E$5:$E$30=$E62,CI$5:CI$30))</f>
        <v>#DIV/0!</v>
      </c>
      <c r="CJ63" s="74" t="e">
        <f t="array" ref="CJ63">_xlfn.STDEV.P(IF($E$5:$E$30=$E62,CJ$5:CJ$30))</f>
        <v>#DIV/0!</v>
      </c>
      <c r="CK63" s="74" t="e">
        <f t="array" ref="CK63">_xlfn.STDEV.P(IF($E$5:$E$30=$E62,CK$5:CK$30))</f>
        <v>#DIV/0!</v>
      </c>
      <c r="CL63" s="74" t="e">
        <f t="array" ref="CL63">_xlfn.STDEV.P(IF($E$5:$E$30=$E62,CL$5:CL$30))</f>
        <v>#DIV/0!</v>
      </c>
      <c r="CM63" s="74" t="e">
        <f t="array" ref="CM63">_xlfn.STDEV.P(IF($E$5:$E$30=$E62,CM$5:CM$30))</f>
        <v>#DIV/0!</v>
      </c>
      <c r="CN63" s="74" t="e">
        <f t="array" ref="CN63">_xlfn.STDEV.P(IF($E$5:$E$30=$E62,CN$5:CN$30))</f>
        <v>#DIV/0!</v>
      </c>
      <c r="CO63" s="74" t="e">
        <f t="array" ref="CO63">_xlfn.STDEV.P(IF($E$5:$E$30=$E62,CO$5:CO$30))</f>
        <v>#DIV/0!</v>
      </c>
      <c r="CP63" s="74" t="e">
        <f t="array" ref="CP63">_xlfn.STDEV.P(IF($E$5:$E$30=$E62,CP$5:CP$30))</f>
        <v>#DIV/0!</v>
      </c>
      <c r="CQ63" s="74" t="e">
        <f t="array" ref="CQ63">_xlfn.STDEV.P(IF($E$5:$E$30=$E62,CQ$5:CQ$30))</f>
        <v>#DIV/0!</v>
      </c>
      <c r="CR63" s="74" t="e">
        <f t="array" ref="CR63">_xlfn.STDEV.P(IF($E$5:$E$30=$E62,CR$5:CR$30))</f>
        <v>#DIV/0!</v>
      </c>
      <c r="CS63" s="74" t="e">
        <f t="array" ref="CS63">_xlfn.STDEV.P(IF($E$5:$E$30=$E62,CS$5:CS$30))</f>
        <v>#DIV/0!</v>
      </c>
      <c r="CT63" s="74" t="e">
        <f t="array" ref="CT63">_xlfn.STDEV.P(IF($E$5:$E$30=$E62,CT$5:CT$30))</f>
        <v>#DIV/0!</v>
      </c>
      <c r="CU63" s="74" t="e">
        <f t="array" ref="CU63">_xlfn.STDEV.P(IF($E$5:$E$30=$E62,CU$5:CU$30))</f>
        <v>#DIV/0!</v>
      </c>
      <c r="CV63" s="74" t="e">
        <f t="array" ref="CV63">_xlfn.STDEV.P(IF($E$5:$E$30=$E62,CV$5:CV$30))</f>
        <v>#DIV/0!</v>
      </c>
      <c r="CW63" s="76"/>
    </row>
    <row r="64" spans="1:101" ht="15">
      <c r="A64" s="113"/>
      <c r="E64" s="118"/>
      <c r="I64" s="52"/>
    </row>
    <row r="65" spans="1:101" ht="14.25" customHeight="1">
      <c r="A65" s="113"/>
      <c r="E65" s="118" t="str">
        <f>'FIG6 Groups'!C16</f>
        <v>Group 11</v>
      </c>
      <c r="I65" s="118" t="str">
        <f>E65</f>
        <v>Group 11</v>
      </c>
      <c r="J65" s="227" t="e">
        <f>AVERAGEIF($E$5:$E$30,$E65,J$5:J$30)</f>
        <v>#DIV/0!</v>
      </c>
      <c r="K65" s="72" t="s">
        <v>9</v>
      </c>
      <c r="L65" s="78" t="e">
        <f>AVERAGEIF($E$5:$E$30,$E65,L$5:L$30)</f>
        <v>#DIV/0!</v>
      </c>
      <c r="M65" s="78" t="e">
        <f>AVERAGEIF($E$5:$E$30,$E65,M$5:M$30)</f>
        <v>#DIV/0!</v>
      </c>
      <c r="N65" s="78" t="e">
        <f>AVERAGEIF($E$5:$E$30,$E65,N$5:N$30)</f>
        <v>#DIV/0!</v>
      </c>
      <c r="O65" s="78" t="e">
        <f>AVERAGEIF($E$5:$E$30,$E65,O$5:O$30)</f>
        <v>#DIV/0!</v>
      </c>
      <c r="P65" s="78" t="e">
        <f>AVERAGEIF($E$5:$E$30,$E65,P$5:P$30)</f>
        <v>#DIV/0!</v>
      </c>
      <c r="Q65" s="78" t="e">
        <f>AVERAGEIF($E$5:$E$30,$E65,Q$5:Q$30)</f>
        <v>#DIV/0!</v>
      </c>
      <c r="R65" s="78" t="e">
        <f>AVERAGEIF($E$5:$E$30,$E65,R$5:R$30)</f>
        <v>#DIV/0!</v>
      </c>
      <c r="S65" s="78" t="e">
        <f>AVERAGEIF($E$5:$E$30,$E65,S$5:S$30)</f>
        <v>#DIV/0!</v>
      </c>
      <c r="T65" s="78" t="e">
        <f>AVERAGEIF($E$5:$E$30,$E65,T$5:T$30)</f>
        <v>#DIV/0!</v>
      </c>
      <c r="U65" s="78" t="e">
        <f>AVERAGEIF($E$5:$E$30,$E65,U$5:U$30)</f>
        <v>#DIV/0!</v>
      </c>
      <c r="V65" s="78" t="e">
        <f>AVERAGEIF($E$5:$E$30,$E65,V$5:V$30)</f>
        <v>#DIV/0!</v>
      </c>
      <c r="W65" s="78" t="e">
        <f>AVERAGEIF($E$5:$E$30,$E65,W$5:W$30)</f>
        <v>#DIV/0!</v>
      </c>
      <c r="X65" s="78" t="e">
        <f>AVERAGEIF($E$5:$E$30,$E65,X$5:X$30)</f>
        <v>#DIV/0!</v>
      </c>
      <c r="Y65" s="78" t="e">
        <f>AVERAGEIF($E$5:$E$30,$E65,Y$5:Y$30)</f>
        <v>#DIV/0!</v>
      </c>
      <c r="Z65" s="78" t="e">
        <f>AVERAGEIF($E$5:$E$30,$E65,Z$5:Z$30)</f>
        <v>#DIV/0!</v>
      </c>
      <c r="AA65" s="78" t="e">
        <f>AVERAGEIF($E$5:$E$30,$E65,AA$5:AA$30)</f>
        <v>#DIV/0!</v>
      </c>
      <c r="AB65" s="78" t="e">
        <f>AVERAGEIF($E$5:$E$30,$E65,AB$5:AB$30)</f>
        <v>#DIV/0!</v>
      </c>
      <c r="AC65" s="78" t="e">
        <f>AVERAGEIF($E$5:$E$30,$E65,AC$5:AC$30)</f>
        <v>#DIV/0!</v>
      </c>
      <c r="AD65" s="78" t="e">
        <f>AVERAGEIF($E$5:$E$30,$E65,AD$5:AD$30)</f>
        <v>#DIV/0!</v>
      </c>
      <c r="AE65" s="78" t="e">
        <f>AVERAGEIF($E$5:$E$30,$E65,AE$5:AE$30)</f>
        <v>#DIV/0!</v>
      </c>
      <c r="AF65" s="78" t="e">
        <f>AVERAGEIF($E$5:$E$30,$E65,AF$5:AF$30)</f>
        <v>#DIV/0!</v>
      </c>
      <c r="AG65" s="78" t="e">
        <f>AVERAGEIF($E$5:$E$30,$E65,AG$5:AG$30)</f>
        <v>#DIV/0!</v>
      </c>
      <c r="AH65" s="78" t="e">
        <f>AVERAGEIF($E$5:$E$30,$E65,AH$5:AH$30)</f>
        <v>#DIV/0!</v>
      </c>
      <c r="AI65" s="78" t="e">
        <f>AVERAGEIF($E$5:$E$30,$E65,AI$5:AI$30)</f>
        <v>#DIV/0!</v>
      </c>
      <c r="AJ65" s="78" t="e">
        <f>AVERAGEIF($E$5:$E$30,$E65,AJ$5:AJ$30)</f>
        <v>#DIV/0!</v>
      </c>
      <c r="AK65" s="78" t="e">
        <f>AVERAGEIF($E$5:$E$30,$E65,AK$5:AK$30)</f>
        <v>#DIV/0!</v>
      </c>
      <c r="AL65" s="78" t="e">
        <f>AVERAGEIF($E$5:$E$30,$E65,AL$5:AL$30)</f>
        <v>#DIV/0!</v>
      </c>
      <c r="AM65" s="78" t="e">
        <f>AVERAGEIF($E$5:$E$30,$E65,AM$5:AM$30)</f>
        <v>#DIV/0!</v>
      </c>
      <c r="AN65" s="78" t="e">
        <f>AVERAGEIF($E$5:$E$30,$E65,AN$5:AN$30)</f>
        <v>#DIV/0!</v>
      </c>
      <c r="AO65" s="78" t="e">
        <f>AVERAGEIF($E$5:$E$30,$E65,AO$5:AO$30)</f>
        <v>#DIV/0!</v>
      </c>
      <c r="AP65" s="78" t="e">
        <f>AVERAGEIF($E$5:$E$30,$E65,AP$5:AP$30)</f>
        <v>#DIV/0!</v>
      </c>
      <c r="AQ65" s="78" t="e">
        <f>AVERAGEIF($E$5:$E$30,$E65,AQ$5:AQ$30)</f>
        <v>#DIV/0!</v>
      </c>
      <c r="AR65" s="78" t="e">
        <f>AVERAGEIF($E$5:$E$30,$E65,AR$5:AR$30)</f>
        <v>#DIV/0!</v>
      </c>
      <c r="AS65" s="78" t="e">
        <f>AVERAGEIF($E$5:$E$30,$E65,AS$5:AS$30)</f>
        <v>#DIV/0!</v>
      </c>
      <c r="AT65" s="78" t="e">
        <f>AVERAGEIF($E$5:$E$30,$E65,AT$5:AT$30)</f>
        <v>#DIV/0!</v>
      </c>
      <c r="AU65" s="78" t="e">
        <f>AVERAGEIF($E$5:$E$30,$E65,AU$5:AU$30)</f>
        <v>#DIV/0!</v>
      </c>
      <c r="AV65" s="78" t="e">
        <f>AVERAGEIF($E$5:$E$30,$E65,AV$5:AV$30)</f>
        <v>#DIV/0!</v>
      </c>
      <c r="AW65" s="78" t="e">
        <f>AVERAGEIF($E$5:$E$30,$E65,AW$5:AW$30)</f>
        <v>#DIV/0!</v>
      </c>
      <c r="AX65" s="78" t="e">
        <f>AVERAGEIF($E$5:$E$30,$E65,AX$5:AX$30)</f>
        <v>#DIV/0!</v>
      </c>
      <c r="AY65" s="78" t="e">
        <f>AVERAGEIF($E$5:$E$30,$E65,AY$5:AY$30)</f>
        <v>#DIV/0!</v>
      </c>
      <c r="AZ65" s="78" t="e">
        <f>AVERAGEIF($E$5:$E$30,$E65,AZ$5:AZ$30)</f>
        <v>#DIV/0!</v>
      </c>
      <c r="BA65" s="78" t="e">
        <f>AVERAGEIF($E$5:$E$30,$E65,BA$5:BA$30)</f>
        <v>#DIV/0!</v>
      </c>
      <c r="BB65" s="78" t="e">
        <f>AVERAGEIF($E$5:$E$30,$E65,BB$5:BB$30)</f>
        <v>#DIV/0!</v>
      </c>
      <c r="BC65" s="78" t="e">
        <f>AVERAGEIF($E$5:$E$30,$E65,BC$5:BC$30)</f>
        <v>#DIV/0!</v>
      </c>
      <c r="BD65" s="103" t="s">
        <v>9</v>
      </c>
      <c r="BE65" s="73" t="e">
        <f>AVERAGEIF($E$5:$E$30,$E65,BE$5:BE$30)</f>
        <v>#DIV/0!</v>
      </c>
      <c r="BF65" s="73" t="e">
        <f>AVERAGEIF($E$5:$E$30,$E65,BF$5:BF$30)</f>
        <v>#DIV/0!</v>
      </c>
      <c r="BG65" s="73" t="e">
        <f>AVERAGEIF($E$5:$E$30,$E65,BG$5:BG$30)</f>
        <v>#DIV/0!</v>
      </c>
      <c r="BH65" s="73" t="e">
        <f>AVERAGEIF($E$5:$E$30,$E65,BH$5:BH$30)</f>
        <v>#DIV/0!</v>
      </c>
      <c r="BI65" s="73" t="e">
        <f>AVERAGEIF($E$5:$E$30,$E65,BI$5:BI$30)</f>
        <v>#DIV/0!</v>
      </c>
      <c r="BJ65" s="73" t="e">
        <f>AVERAGEIF($E$5:$E$30,$E65,BJ$5:BJ$30)</f>
        <v>#DIV/0!</v>
      </c>
      <c r="BK65" s="73" t="e">
        <f>AVERAGEIF($E$5:$E$30,$E65,BK$5:BK$30)</f>
        <v>#DIV/0!</v>
      </c>
      <c r="BL65" s="73" t="e">
        <f>AVERAGEIF($E$5:$E$30,$E65,BL$5:BL$30)</f>
        <v>#DIV/0!</v>
      </c>
      <c r="BM65" s="73" t="e">
        <f>AVERAGEIF($E$5:$E$30,$E65,BM$5:BM$30)</f>
        <v>#DIV/0!</v>
      </c>
      <c r="BN65" s="73" t="e">
        <f>AVERAGEIF($E$5:$E$30,$E65,BN$5:BN$30)</f>
        <v>#DIV/0!</v>
      </c>
      <c r="BO65" s="73" t="e">
        <f>AVERAGEIF($E$5:$E$30,$E65,BO$5:BO$30)</f>
        <v>#DIV/0!</v>
      </c>
      <c r="BP65" s="73" t="e">
        <f>AVERAGEIF($E$5:$E$30,$E65,BP$5:BP$30)</f>
        <v>#DIV/0!</v>
      </c>
      <c r="BQ65" s="73" t="e">
        <f>AVERAGEIF($E$5:$E$30,$E65,BQ$5:BQ$30)</f>
        <v>#DIV/0!</v>
      </c>
      <c r="BR65" s="73" t="e">
        <f>AVERAGEIF($E$5:$E$30,$E65,BR$5:BR$30)</f>
        <v>#DIV/0!</v>
      </c>
      <c r="BS65" s="73" t="e">
        <f>AVERAGEIF($E$5:$E$30,$E65,BS$5:BS$30)</f>
        <v>#DIV/0!</v>
      </c>
      <c r="BT65" s="73" t="e">
        <f>AVERAGEIF($E$5:$E$30,$E65,BT$5:BT$30)</f>
        <v>#DIV/0!</v>
      </c>
      <c r="BU65" s="73" t="e">
        <f>AVERAGEIF($E$5:$E$30,$E65,BU$5:BU$30)</f>
        <v>#DIV/0!</v>
      </c>
      <c r="BV65" s="73" t="e">
        <f>AVERAGEIF($E$5:$E$30,$E65,BV$5:BV$30)</f>
        <v>#DIV/0!</v>
      </c>
      <c r="BW65" s="73" t="e">
        <f>AVERAGEIF($E$5:$E$30,$E65,BW$5:BW$30)</f>
        <v>#DIV/0!</v>
      </c>
      <c r="BX65" s="73" t="e">
        <f>AVERAGEIF($E$5:$E$30,$E65,BX$5:BX$30)</f>
        <v>#DIV/0!</v>
      </c>
      <c r="BY65" s="73" t="e">
        <f>AVERAGEIF($E$5:$E$30,$E65,BY$5:BY$30)</f>
        <v>#DIV/0!</v>
      </c>
      <c r="BZ65" s="73" t="e">
        <f>AVERAGEIF($E$5:$E$30,$E65,BZ$5:BZ$30)</f>
        <v>#DIV/0!</v>
      </c>
      <c r="CA65" s="73" t="e">
        <f>AVERAGEIF($E$5:$E$30,$E65,CA$5:CA$30)</f>
        <v>#DIV/0!</v>
      </c>
      <c r="CB65" s="73" t="e">
        <f>AVERAGEIF($E$5:$E$30,$E65,CB$5:CB$30)</f>
        <v>#DIV/0!</v>
      </c>
      <c r="CC65" s="73" t="e">
        <f>AVERAGEIF($E$5:$E$30,$E65,CC$5:CC$30)</f>
        <v>#DIV/0!</v>
      </c>
      <c r="CD65" s="73" t="e">
        <f>AVERAGEIF($E$5:$E$30,$E65,CD$5:CD$30)</f>
        <v>#DIV/0!</v>
      </c>
      <c r="CE65" s="73" t="e">
        <f>AVERAGEIF($E$5:$E$30,$E65,CE$5:CE$30)</f>
        <v>#DIV/0!</v>
      </c>
      <c r="CF65" s="73" t="e">
        <f>AVERAGEIF($E$5:$E$30,$E65,CF$5:CF$30)</f>
        <v>#DIV/0!</v>
      </c>
      <c r="CG65" s="73" t="e">
        <f>AVERAGEIF($E$5:$E$30,$E65,CG$5:CG$30)</f>
        <v>#DIV/0!</v>
      </c>
      <c r="CH65" s="73" t="e">
        <f>AVERAGEIF($E$5:$E$30,$E65,CH$5:CH$30)</f>
        <v>#DIV/0!</v>
      </c>
      <c r="CI65" s="73" t="e">
        <f>AVERAGEIF($E$5:$E$30,$E65,CI$5:CI$30)</f>
        <v>#DIV/0!</v>
      </c>
      <c r="CJ65" s="73" t="e">
        <f>AVERAGEIF($E$5:$E$30,$E65,CJ$5:CJ$30)</f>
        <v>#DIV/0!</v>
      </c>
      <c r="CK65" s="73" t="e">
        <f>AVERAGEIF($E$5:$E$30,$E65,CK$5:CK$30)</f>
        <v>#DIV/0!</v>
      </c>
      <c r="CL65" s="73" t="e">
        <f>AVERAGEIF($E$5:$E$30,$E65,CL$5:CL$30)</f>
        <v>#DIV/0!</v>
      </c>
      <c r="CM65" s="73" t="e">
        <f>AVERAGEIF($E$5:$E$30,$E65,CM$5:CM$30)</f>
        <v>#DIV/0!</v>
      </c>
      <c r="CN65" s="73" t="e">
        <f>AVERAGEIF($E$5:$E$30,$E65,CN$5:CN$30)</f>
        <v>#DIV/0!</v>
      </c>
      <c r="CO65" s="73" t="e">
        <f>AVERAGEIF($E$5:$E$30,$E65,CO$5:CO$30)</f>
        <v>#DIV/0!</v>
      </c>
      <c r="CP65" s="73" t="e">
        <f>AVERAGEIF($E$5:$E$30,$E65,CP$5:CP$30)</f>
        <v>#DIV/0!</v>
      </c>
      <c r="CQ65" s="73" t="e">
        <f>AVERAGEIF($E$5:$E$30,$E65,CQ$5:CQ$30)</f>
        <v>#DIV/0!</v>
      </c>
      <c r="CR65" s="73" t="e">
        <f>AVERAGEIF($E$5:$E$30,$E65,CR$5:CR$30)</f>
        <v>#DIV/0!</v>
      </c>
      <c r="CS65" s="73" t="e">
        <f>AVERAGEIF($E$5:$E$30,$E65,CS$5:CS$30)</f>
        <v>#DIV/0!</v>
      </c>
      <c r="CT65" s="73" t="e">
        <f>AVERAGEIF($E$5:$E$30,$E65,CT$5:CT$30)</f>
        <v>#DIV/0!</v>
      </c>
      <c r="CU65" s="73" t="e">
        <f>AVERAGEIF($E$5:$E$30,$E65,CU$5:CU$30)</f>
        <v>#DIV/0!</v>
      </c>
      <c r="CV65" s="73" t="e">
        <f>AVERAGEIF($E$5:$E$30,$E65,CV$5:CV$30)</f>
        <v>#DIV/0!</v>
      </c>
      <c r="CW65" s="76"/>
    </row>
    <row r="66" spans="1:101" ht="14.25" customHeight="1">
      <c r="A66" s="113"/>
      <c r="E66" s="93"/>
      <c r="I66" s="93"/>
      <c r="J66" s="227" t="e">
        <f t="array" ref="J66">_xlfn.STDEV.P(IF($E$5:$E$30=$E65,J$5:J$30))</f>
        <v>#DIV/0!</v>
      </c>
      <c r="K66" s="72" t="s">
        <v>11</v>
      </c>
      <c r="L66" s="81" t="e">
        <f t="array" ref="L66">_xlfn.STDEV.P(IF($E$5:$E$30=$E65,L$5:L$30))</f>
        <v>#DIV/0!</v>
      </c>
      <c r="M66" s="81" t="e">
        <f t="array" ref="M66">_xlfn.STDEV.P(IF($E$5:$E$30=$E65,M$5:M$30))</f>
        <v>#DIV/0!</v>
      </c>
      <c r="N66" s="81" t="e">
        <f t="array" ref="N66">_xlfn.STDEV.P(IF($E$5:$E$30=$E65,N$5:N$30))</f>
        <v>#DIV/0!</v>
      </c>
      <c r="O66" s="81" t="e">
        <f t="array" ref="O66">_xlfn.STDEV.P(IF($E$5:$E$30=$E65,O$5:O$30))</f>
        <v>#DIV/0!</v>
      </c>
      <c r="P66" s="81" t="e">
        <f t="array" ref="P66">_xlfn.STDEV.P(IF($E$5:$E$30=$E65,P$5:P$30))</f>
        <v>#DIV/0!</v>
      </c>
      <c r="Q66" s="81" t="e">
        <f t="array" ref="Q66">_xlfn.STDEV.P(IF($E$5:$E$30=$E65,Q$5:Q$30))</f>
        <v>#DIV/0!</v>
      </c>
      <c r="R66" s="81" t="e">
        <f t="array" ref="R66">_xlfn.STDEV.P(IF($E$5:$E$30=$E65,R$5:R$30))</f>
        <v>#DIV/0!</v>
      </c>
      <c r="S66" s="81" t="e">
        <f t="array" ref="S66">_xlfn.STDEV.P(IF($E$5:$E$30=$E65,S$5:S$30))</f>
        <v>#DIV/0!</v>
      </c>
      <c r="T66" s="81" t="e">
        <f t="array" ref="T66">_xlfn.STDEV.P(IF($E$5:$E$30=$E65,T$5:T$30))</f>
        <v>#DIV/0!</v>
      </c>
      <c r="U66" s="81" t="e">
        <f t="array" ref="U66">_xlfn.STDEV.P(IF($E$5:$E$30=$E65,U$5:U$30))</f>
        <v>#DIV/0!</v>
      </c>
      <c r="V66" s="81" t="e">
        <f t="array" ref="V66">_xlfn.STDEV.P(IF($E$5:$E$30=$E65,V$5:V$30))</f>
        <v>#DIV/0!</v>
      </c>
      <c r="W66" s="81" t="e">
        <f t="array" ref="W66">_xlfn.STDEV.P(IF($E$5:$E$30=$E65,W$5:W$30))</f>
        <v>#DIV/0!</v>
      </c>
      <c r="X66" s="81" t="e">
        <f t="array" ref="X66">_xlfn.STDEV.P(IF($E$5:$E$30=$E65,X$5:X$30))</f>
        <v>#DIV/0!</v>
      </c>
      <c r="Y66" s="81" t="e">
        <f t="array" ref="Y66">_xlfn.STDEV.P(IF($E$5:$E$30=$E65,Y$5:Y$30))</f>
        <v>#DIV/0!</v>
      </c>
      <c r="Z66" s="81" t="e">
        <f t="array" ref="Z66">_xlfn.STDEV.P(IF($E$5:$E$30=$E65,Z$5:Z$30))</f>
        <v>#DIV/0!</v>
      </c>
      <c r="AA66" s="81" t="e">
        <f t="array" ref="AA66">_xlfn.STDEV.P(IF($E$5:$E$30=$E65,AA$5:AA$30))</f>
        <v>#DIV/0!</v>
      </c>
      <c r="AB66" s="81" t="e">
        <f t="array" ref="AB66">_xlfn.STDEV.P(IF($E$5:$E$30=$E65,AB$5:AB$30))</f>
        <v>#DIV/0!</v>
      </c>
      <c r="AC66" s="81" t="e">
        <f t="array" ref="AC66">_xlfn.STDEV.P(IF($E$5:$E$30=$E65,AC$5:AC$30))</f>
        <v>#DIV/0!</v>
      </c>
      <c r="AD66" s="81" t="e">
        <f t="array" ref="AD66">_xlfn.STDEV.P(IF($E$5:$E$30=$E65,AD$5:AD$30))</f>
        <v>#DIV/0!</v>
      </c>
      <c r="AE66" s="81" t="e">
        <f t="array" ref="AE66">_xlfn.STDEV.P(IF($E$5:$E$30=$E65,AE$5:AE$30))</f>
        <v>#DIV/0!</v>
      </c>
      <c r="AF66" s="81" t="e">
        <f t="array" ref="AF66">_xlfn.STDEV.P(IF($E$5:$E$30=$E65,AF$5:AF$30))</f>
        <v>#DIV/0!</v>
      </c>
      <c r="AG66" s="81" t="e">
        <f t="array" ref="AG66">_xlfn.STDEV.P(IF($E$5:$E$30=$E65,AG$5:AG$30))</f>
        <v>#DIV/0!</v>
      </c>
      <c r="AH66" s="81" t="e">
        <f t="array" ref="AH66">_xlfn.STDEV.P(IF($E$5:$E$30=$E65,AH$5:AH$30))</f>
        <v>#DIV/0!</v>
      </c>
      <c r="AI66" s="81" t="e">
        <f t="array" ref="AI66">_xlfn.STDEV.P(IF($E$5:$E$30=$E65,AI$5:AI$30))</f>
        <v>#DIV/0!</v>
      </c>
      <c r="AJ66" s="81" t="e">
        <f t="array" ref="AJ66">_xlfn.STDEV.P(IF($E$5:$E$30=$E65,AJ$5:AJ$30))</f>
        <v>#DIV/0!</v>
      </c>
      <c r="AK66" s="81" t="e">
        <f t="array" ref="AK66">_xlfn.STDEV.P(IF($E$5:$E$30=$E65,AK$5:AK$30))</f>
        <v>#DIV/0!</v>
      </c>
      <c r="AL66" s="81" t="e">
        <f t="array" ref="AL66">_xlfn.STDEV.P(IF($E$5:$E$30=$E65,AL$5:AL$30))</f>
        <v>#DIV/0!</v>
      </c>
      <c r="AM66" s="81" t="e">
        <f t="array" ref="AM66">_xlfn.STDEV.P(IF($E$5:$E$30=$E65,AM$5:AM$30))</f>
        <v>#DIV/0!</v>
      </c>
      <c r="AN66" s="81" t="e">
        <f t="array" ref="AN66">_xlfn.STDEV.P(IF($E$5:$E$30=$E65,AN$5:AN$30))</f>
        <v>#DIV/0!</v>
      </c>
      <c r="AO66" s="81" t="e">
        <f t="array" ref="AO66">_xlfn.STDEV.P(IF($E$5:$E$30=$E65,AO$5:AO$30))</f>
        <v>#DIV/0!</v>
      </c>
      <c r="AP66" s="81" t="e">
        <f t="array" ref="AP66">_xlfn.STDEV.P(IF($E$5:$E$30=$E65,AP$5:AP$30))</f>
        <v>#DIV/0!</v>
      </c>
      <c r="AQ66" s="81" t="e">
        <f t="array" ref="AQ66">_xlfn.STDEV.P(IF($E$5:$E$30=$E65,AQ$5:AQ$30))</f>
        <v>#DIV/0!</v>
      </c>
      <c r="AR66" s="81" t="e">
        <f t="array" ref="AR66">_xlfn.STDEV.P(IF($E$5:$E$30=$E65,AR$5:AR$30))</f>
        <v>#DIV/0!</v>
      </c>
      <c r="AS66" s="81" t="e">
        <f t="array" ref="AS66">_xlfn.STDEV.P(IF($E$5:$E$30=$E65,AS$5:AS$30))</f>
        <v>#DIV/0!</v>
      </c>
      <c r="AT66" s="81" t="e">
        <f t="array" ref="AT66">_xlfn.STDEV.P(IF($E$5:$E$30=$E65,AT$5:AT$30))</f>
        <v>#DIV/0!</v>
      </c>
      <c r="AU66" s="81" t="e">
        <f t="array" ref="AU66">_xlfn.STDEV.P(IF($E$5:$E$30=$E65,AU$5:AU$30))</f>
        <v>#DIV/0!</v>
      </c>
      <c r="AV66" s="81" t="e">
        <f t="array" ref="AV66">_xlfn.STDEV.P(IF($E$5:$E$30=$E65,AV$5:AV$30))</f>
        <v>#DIV/0!</v>
      </c>
      <c r="AW66" s="81" t="e">
        <f t="array" ref="AW66">_xlfn.STDEV.P(IF($E$5:$E$30=$E65,AW$5:AW$30))</f>
        <v>#DIV/0!</v>
      </c>
      <c r="AX66" s="81" t="e">
        <f t="array" ref="AX66">_xlfn.STDEV.P(IF($E$5:$E$30=$E65,AX$5:AX$30))</f>
        <v>#DIV/0!</v>
      </c>
      <c r="AY66" s="81" t="e">
        <f t="array" ref="AY66">_xlfn.STDEV.P(IF($E$5:$E$30=$E65,AY$5:AY$30))</f>
        <v>#DIV/0!</v>
      </c>
      <c r="AZ66" s="81" t="e">
        <f t="array" ref="AZ66">_xlfn.STDEV.P(IF($E$5:$E$30=$E65,AZ$5:AZ$30))</f>
        <v>#DIV/0!</v>
      </c>
      <c r="BA66" s="81" t="e">
        <f t="array" ref="BA66">_xlfn.STDEV.P(IF($E$5:$E$30=$E65,BA$5:BA$30))</f>
        <v>#DIV/0!</v>
      </c>
      <c r="BB66" s="81" t="e">
        <f t="array" ref="BB66">_xlfn.STDEV.P(IF($E$5:$E$30=$E65,BB$5:BB$30))</f>
        <v>#DIV/0!</v>
      </c>
      <c r="BC66" s="81" t="e">
        <f t="array" ref="BC66">_xlfn.STDEV.P(IF($E$5:$E$30=$E65,BC$5:BC$30))</f>
        <v>#DIV/0!</v>
      </c>
      <c r="BD66" s="104" t="s">
        <v>11</v>
      </c>
      <c r="BE66" s="74" t="e">
        <f t="array" ref="BE66">_xlfn.STDEV.P(IF($E$5:$E$30=$E65,BE$5:BE$30))</f>
        <v>#DIV/0!</v>
      </c>
      <c r="BF66" s="74" t="e">
        <f t="array" ref="BF66">_xlfn.STDEV.P(IF($E$5:$E$30=$E65,BF$5:BF$30))</f>
        <v>#DIV/0!</v>
      </c>
      <c r="BG66" s="74" t="e">
        <f t="array" ref="BG66">_xlfn.STDEV.P(IF($E$5:$E$30=$E65,BG$5:BG$30))</f>
        <v>#DIV/0!</v>
      </c>
      <c r="BH66" s="74" t="e">
        <f t="array" ref="BH66">_xlfn.STDEV.P(IF($E$5:$E$30=$E65,BH$5:BH$30))</f>
        <v>#DIV/0!</v>
      </c>
      <c r="BI66" s="74" t="e">
        <f t="array" ref="BI66">_xlfn.STDEV.P(IF($E$5:$E$30=$E65,BI$5:BI$30))</f>
        <v>#DIV/0!</v>
      </c>
      <c r="BJ66" s="74" t="e">
        <f t="array" ref="BJ66">_xlfn.STDEV.P(IF($E$5:$E$30=$E65,BJ$5:BJ$30))</f>
        <v>#DIV/0!</v>
      </c>
      <c r="BK66" s="74" t="e">
        <f t="array" ref="BK66">_xlfn.STDEV.P(IF($E$5:$E$30=$E65,BK$5:BK$30))</f>
        <v>#DIV/0!</v>
      </c>
      <c r="BL66" s="74" t="e">
        <f t="array" ref="BL66">_xlfn.STDEV.P(IF($E$5:$E$30=$E65,BL$5:BL$30))</f>
        <v>#DIV/0!</v>
      </c>
      <c r="BM66" s="74" t="e">
        <f t="array" ref="BM66">_xlfn.STDEV.P(IF($E$5:$E$30=$E65,BM$5:BM$30))</f>
        <v>#DIV/0!</v>
      </c>
      <c r="BN66" s="74" t="e">
        <f t="array" ref="BN66">_xlfn.STDEV.P(IF($E$5:$E$30=$E65,BN$5:BN$30))</f>
        <v>#DIV/0!</v>
      </c>
      <c r="BO66" s="74" t="e">
        <f t="array" ref="BO66">_xlfn.STDEV.P(IF($E$5:$E$30=$E65,BO$5:BO$30))</f>
        <v>#DIV/0!</v>
      </c>
      <c r="BP66" s="74" t="e">
        <f t="array" ref="BP66">_xlfn.STDEV.P(IF($E$5:$E$30=$E65,BP$5:BP$30))</f>
        <v>#DIV/0!</v>
      </c>
      <c r="BQ66" s="74" t="e">
        <f t="array" ref="BQ66">_xlfn.STDEV.P(IF($E$5:$E$30=$E65,BQ$5:BQ$30))</f>
        <v>#DIV/0!</v>
      </c>
      <c r="BR66" s="74" t="e">
        <f t="array" ref="BR66">_xlfn.STDEV.P(IF($E$5:$E$30=$E65,BR$5:BR$30))</f>
        <v>#DIV/0!</v>
      </c>
      <c r="BS66" s="74" t="e">
        <f t="array" ref="BS66">_xlfn.STDEV.P(IF($E$5:$E$30=$E65,BS$5:BS$30))</f>
        <v>#DIV/0!</v>
      </c>
      <c r="BT66" s="74" t="e">
        <f t="array" ref="BT66">_xlfn.STDEV.P(IF($E$5:$E$30=$E65,BT$5:BT$30))</f>
        <v>#DIV/0!</v>
      </c>
      <c r="BU66" s="74" t="e">
        <f t="array" ref="BU66">_xlfn.STDEV.P(IF($E$5:$E$30=$E65,BU$5:BU$30))</f>
        <v>#DIV/0!</v>
      </c>
      <c r="BV66" s="74" t="e">
        <f t="array" ref="BV66">_xlfn.STDEV.P(IF($E$5:$E$30=$E65,BV$5:BV$30))</f>
        <v>#DIV/0!</v>
      </c>
      <c r="BW66" s="74" t="e">
        <f t="array" ref="BW66">_xlfn.STDEV.P(IF($E$5:$E$30=$E65,BW$5:BW$30))</f>
        <v>#DIV/0!</v>
      </c>
      <c r="BX66" s="74" t="e">
        <f t="array" ref="BX66">_xlfn.STDEV.P(IF($E$5:$E$30=$E65,BX$5:BX$30))</f>
        <v>#DIV/0!</v>
      </c>
      <c r="BY66" s="74" t="e">
        <f t="array" ref="BY66">_xlfn.STDEV.P(IF($E$5:$E$30=$E65,BY$5:BY$30))</f>
        <v>#DIV/0!</v>
      </c>
      <c r="BZ66" s="74" t="e">
        <f t="array" ref="BZ66">_xlfn.STDEV.P(IF($E$5:$E$30=$E65,BZ$5:BZ$30))</f>
        <v>#DIV/0!</v>
      </c>
      <c r="CA66" s="74" t="e">
        <f t="array" ref="CA66">_xlfn.STDEV.P(IF($E$5:$E$30=$E65,CA$5:CA$30))</f>
        <v>#DIV/0!</v>
      </c>
      <c r="CB66" s="74" t="e">
        <f t="array" ref="CB66">_xlfn.STDEV.P(IF($E$5:$E$30=$E65,CB$5:CB$30))</f>
        <v>#DIV/0!</v>
      </c>
      <c r="CC66" s="74" t="e">
        <f t="array" ref="CC66">_xlfn.STDEV.P(IF($E$5:$E$30=$E65,CC$5:CC$30))</f>
        <v>#DIV/0!</v>
      </c>
      <c r="CD66" s="74" t="e">
        <f t="array" ref="CD66">_xlfn.STDEV.P(IF($E$5:$E$30=$E65,CD$5:CD$30))</f>
        <v>#DIV/0!</v>
      </c>
      <c r="CE66" s="74" t="e">
        <f t="array" ref="CE66">_xlfn.STDEV.P(IF($E$5:$E$30=$E65,CE$5:CE$30))</f>
        <v>#DIV/0!</v>
      </c>
      <c r="CF66" s="74" t="e">
        <f t="array" ref="CF66">_xlfn.STDEV.P(IF($E$5:$E$30=$E65,CF$5:CF$30))</f>
        <v>#DIV/0!</v>
      </c>
      <c r="CG66" s="74" t="e">
        <f t="array" ref="CG66">_xlfn.STDEV.P(IF($E$5:$E$30=$E65,CG$5:CG$30))</f>
        <v>#DIV/0!</v>
      </c>
      <c r="CH66" s="74" t="e">
        <f t="array" ref="CH66">_xlfn.STDEV.P(IF($E$5:$E$30=$E65,CH$5:CH$30))</f>
        <v>#DIV/0!</v>
      </c>
      <c r="CI66" s="74" t="e">
        <f t="array" ref="CI66">_xlfn.STDEV.P(IF($E$5:$E$30=$E65,CI$5:CI$30))</f>
        <v>#DIV/0!</v>
      </c>
      <c r="CJ66" s="74" t="e">
        <f t="array" ref="CJ66">_xlfn.STDEV.P(IF($E$5:$E$30=$E65,CJ$5:CJ$30))</f>
        <v>#DIV/0!</v>
      </c>
      <c r="CK66" s="74" t="e">
        <f t="array" ref="CK66">_xlfn.STDEV.P(IF($E$5:$E$30=$E65,CK$5:CK$30))</f>
        <v>#DIV/0!</v>
      </c>
      <c r="CL66" s="74" t="e">
        <f t="array" ref="CL66">_xlfn.STDEV.P(IF($E$5:$E$30=$E65,CL$5:CL$30))</f>
        <v>#DIV/0!</v>
      </c>
      <c r="CM66" s="74" t="e">
        <f t="array" ref="CM66">_xlfn.STDEV.P(IF($E$5:$E$30=$E65,CM$5:CM$30))</f>
        <v>#DIV/0!</v>
      </c>
      <c r="CN66" s="74" t="e">
        <f t="array" ref="CN66">_xlfn.STDEV.P(IF($E$5:$E$30=$E65,CN$5:CN$30))</f>
        <v>#DIV/0!</v>
      </c>
      <c r="CO66" s="74" t="e">
        <f t="array" ref="CO66">_xlfn.STDEV.P(IF($E$5:$E$30=$E65,CO$5:CO$30))</f>
        <v>#DIV/0!</v>
      </c>
      <c r="CP66" s="74" t="e">
        <f t="array" ref="CP66">_xlfn.STDEV.P(IF($E$5:$E$30=$E65,CP$5:CP$30))</f>
        <v>#DIV/0!</v>
      </c>
      <c r="CQ66" s="74" t="e">
        <f t="array" ref="CQ66">_xlfn.STDEV.P(IF($E$5:$E$30=$E65,CQ$5:CQ$30))</f>
        <v>#DIV/0!</v>
      </c>
      <c r="CR66" s="74" t="e">
        <f t="array" ref="CR66">_xlfn.STDEV.P(IF($E$5:$E$30=$E65,CR$5:CR$30))</f>
        <v>#DIV/0!</v>
      </c>
      <c r="CS66" s="74" t="e">
        <f t="array" ref="CS66">_xlfn.STDEV.P(IF($E$5:$E$30=$E65,CS$5:CS$30))</f>
        <v>#DIV/0!</v>
      </c>
      <c r="CT66" s="74" t="e">
        <f t="array" ref="CT66">_xlfn.STDEV.P(IF($E$5:$E$30=$E65,CT$5:CT$30))</f>
        <v>#DIV/0!</v>
      </c>
      <c r="CU66" s="74" t="e">
        <f t="array" ref="CU66">_xlfn.STDEV.P(IF($E$5:$E$30=$E65,CU$5:CU$30))</f>
        <v>#DIV/0!</v>
      </c>
      <c r="CV66" s="74" t="e">
        <f t="array" ref="CV66">_xlfn.STDEV.P(IF($E$5:$E$30=$E65,CV$5:CV$30))</f>
        <v>#DIV/0!</v>
      </c>
      <c r="CW66" s="76"/>
    </row>
    <row r="67" spans="1:101" ht="15">
      <c r="A67" s="113"/>
      <c r="E67" s="118"/>
      <c r="I67" s="52"/>
    </row>
    <row r="68" spans="1:101" ht="14.25" customHeight="1">
      <c r="A68" s="113"/>
      <c r="E68" s="118" t="str">
        <f>'FIG6 Groups'!C17</f>
        <v>Group 12</v>
      </c>
      <c r="I68" s="118" t="str">
        <f>E68</f>
        <v>Group 12</v>
      </c>
      <c r="J68" s="227" t="e">
        <f>AVERAGEIF($E$5:$E$30,$E68,J$5:J$30)</f>
        <v>#DIV/0!</v>
      </c>
      <c r="K68" s="72" t="s">
        <v>9</v>
      </c>
      <c r="L68" s="78" t="e">
        <f>AVERAGEIF($E$5:$E$30,$E68,L$5:L$30)</f>
        <v>#DIV/0!</v>
      </c>
      <c r="M68" s="78" t="e">
        <f>AVERAGEIF($E$5:$E$30,$E68,M$5:M$30)</f>
        <v>#DIV/0!</v>
      </c>
      <c r="N68" s="78" t="e">
        <f>AVERAGEIF($E$5:$E$30,$E68,N$5:N$30)</f>
        <v>#DIV/0!</v>
      </c>
      <c r="O68" s="78" t="e">
        <f>AVERAGEIF($E$5:$E$30,$E68,O$5:O$30)</f>
        <v>#DIV/0!</v>
      </c>
      <c r="P68" s="78" t="e">
        <f>AVERAGEIF($E$5:$E$30,$E68,P$5:P$30)</f>
        <v>#DIV/0!</v>
      </c>
      <c r="Q68" s="78" t="e">
        <f>AVERAGEIF($E$5:$E$30,$E68,Q$5:Q$30)</f>
        <v>#DIV/0!</v>
      </c>
      <c r="R68" s="78" t="e">
        <f>AVERAGEIF($E$5:$E$30,$E68,R$5:R$30)</f>
        <v>#DIV/0!</v>
      </c>
      <c r="S68" s="78" t="e">
        <f>AVERAGEIF($E$5:$E$30,$E68,S$5:S$30)</f>
        <v>#DIV/0!</v>
      </c>
      <c r="T68" s="78" t="e">
        <f>AVERAGEIF($E$5:$E$30,$E68,T$5:T$30)</f>
        <v>#DIV/0!</v>
      </c>
      <c r="U68" s="78" t="e">
        <f>AVERAGEIF($E$5:$E$30,$E68,U$5:U$30)</f>
        <v>#DIV/0!</v>
      </c>
      <c r="V68" s="78" t="e">
        <f>AVERAGEIF($E$5:$E$30,$E68,V$5:V$30)</f>
        <v>#DIV/0!</v>
      </c>
      <c r="W68" s="78" t="e">
        <f>AVERAGEIF($E$5:$E$30,$E68,W$5:W$30)</f>
        <v>#DIV/0!</v>
      </c>
      <c r="X68" s="78" t="e">
        <f>AVERAGEIF($E$5:$E$30,$E68,X$5:X$30)</f>
        <v>#DIV/0!</v>
      </c>
      <c r="Y68" s="78" t="e">
        <f>AVERAGEIF($E$5:$E$30,$E68,Y$5:Y$30)</f>
        <v>#DIV/0!</v>
      </c>
      <c r="Z68" s="78" t="e">
        <f>AVERAGEIF($E$5:$E$30,$E68,Z$5:Z$30)</f>
        <v>#DIV/0!</v>
      </c>
      <c r="AA68" s="78" t="e">
        <f>AVERAGEIF($E$5:$E$30,$E68,AA$5:AA$30)</f>
        <v>#DIV/0!</v>
      </c>
      <c r="AB68" s="78" t="e">
        <f>AVERAGEIF($E$5:$E$30,$E68,AB$5:AB$30)</f>
        <v>#DIV/0!</v>
      </c>
      <c r="AC68" s="78" t="e">
        <f>AVERAGEIF($E$5:$E$30,$E68,AC$5:AC$30)</f>
        <v>#DIV/0!</v>
      </c>
      <c r="AD68" s="78" t="e">
        <f>AVERAGEIF($E$5:$E$30,$E68,AD$5:AD$30)</f>
        <v>#DIV/0!</v>
      </c>
      <c r="AE68" s="78" t="e">
        <f>AVERAGEIF($E$5:$E$30,$E68,AE$5:AE$30)</f>
        <v>#DIV/0!</v>
      </c>
      <c r="AF68" s="78" t="e">
        <f>AVERAGEIF($E$5:$E$30,$E68,AF$5:AF$30)</f>
        <v>#DIV/0!</v>
      </c>
      <c r="AG68" s="78" t="e">
        <f>AVERAGEIF($E$5:$E$30,$E68,AG$5:AG$30)</f>
        <v>#DIV/0!</v>
      </c>
      <c r="AH68" s="78" t="e">
        <f>AVERAGEIF($E$5:$E$30,$E68,AH$5:AH$30)</f>
        <v>#DIV/0!</v>
      </c>
      <c r="AI68" s="78" t="e">
        <f>AVERAGEIF($E$5:$E$30,$E68,AI$5:AI$30)</f>
        <v>#DIV/0!</v>
      </c>
      <c r="AJ68" s="78" t="e">
        <f>AVERAGEIF($E$5:$E$30,$E68,AJ$5:AJ$30)</f>
        <v>#DIV/0!</v>
      </c>
      <c r="AK68" s="78" t="e">
        <f>AVERAGEIF($E$5:$E$30,$E68,AK$5:AK$30)</f>
        <v>#DIV/0!</v>
      </c>
      <c r="AL68" s="78" t="e">
        <f>AVERAGEIF($E$5:$E$30,$E68,AL$5:AL$30)</f>
        <v>#DIV/0!</v>
      </c>
      <c r="AM68" s="78" t="e">
        <f>AVERAGEIF($E$5:$E$30,$E68,AM$5:AM$30)</f>
        <v>#DIV/0!</v>
      </c>
      <c r="AN68" s="78" t="e">
        <f>AVERAGEIF($E$5:$E$30,$E68,AN$5:AN$30)</f>
        <v>#DIV/0!</v>
      </c>
      <c r="AO68" s="78" t="e">
        <f>AVERAGEIF($E$5:$E$30,$E68,AO$5:AO$30)</f>
        <v>#DIV/0!</v>
      </c>
      <c r="AP68" s="78" t="e">
        <f>AVERAGEIF($E$5:$E$30,$E68,AP$5:AP$30)</f>
        <v>#DIV/0!</v>
      </c>
      <c r="AQ68" s="78" t="e">
        <f>AVERAGEIF($E$5:$E$30,$E68,AQ$5:AQ$30)</f>
        <v>#DIV/0!</v>
      </c>
      <c r="AR68" s="78" t="e">
        <f>AVERAGEIF($E$5:$E$30,$E68,AR$5:AR$30)</f>
        <v>#DIV/0!</v>
      </c>
      <c r="AS68" s="78" t="e">
        <f>AVERAGEIF($E$5:$E$30,$E68,AS$5:AS$30)</f>
        <v>#DIV/0!</v>
      </c>
      <c r="AT68" s="78" t="e">
        <f>AVERAGEIF($E$5:$E$30,$E68,AT$5:AT$30)</f>
        <v>#DIV/0!</v>
      </c>
      <c r="AU68" s="78" t="e">
        <f>AVERAGEIF($E$5:$E$30,$E68,AU$5:AU$30)</f>
        <v>#DIV/0!</v>
      </c>
      <c r="AV68" s="78" t="e">
        <f>AVERAGEIF($E$5:$E$30,$E68,AV$5:AV$30)</f>
        <v>#DIV/0!</v>
      </c>
      <c r="AW68" s="78" t="e">
        <f>AVERAGEIF($E$5:$E$30,$E68,AW$5:AW$30)</f>
        <v>#DIV/0!</v>
      </c>
      <c r="AX68" s="78" t="e">
        <f>AVERAGEIF($E$5:$E$30,$E68,AX$5:AX$30)</f>
        <v>#DIV/0!</v>
      </c>
      <c r="AY68" s="78" t="e">
        <f>AVERAGEIF($E$5:$E$30,$E68,AY$5:AY$30)</f>
        <v>#DIV/0!</v>
      </c>
      <c r="AZ68" s="78" t="e">
        <f>AVERAGEIF($E$5:$E$30,$E68,AZ$5:AZ$30)</f>
        <v>#DIV/0!</v>
      </c>
      <c r="BA68" s="78" t="e">
        <f>AVERAGEIF($E$5:$E$30,$E68,BA$5:BA$30)</f>
        <v>#DIV/0!</v>
      </c>
      <c r="BB68" s="78" t="e">
        <f>AVERAGEIF($E$5:$E$30,$E68,BB$5:BB$30)</f>
        <v>#DIV/0!</v>
      </c>
      <c r="BC68" s="78" t="e">
        <f>AVERAGEIF($E$5:$E$30,$E68,BC$5:BC$30)</f>
        <v>#DIV/0!</v>
      </c>
      <c r="BD68" s="103" t="s">
        <v>9</v>
      </c>
      <c r="BE68" s="73" t="e">
        <f>AVERAGEIF($E$5:$E$30,$E68,BE$5:BE$30)</f>
        <v>#DIV/0!</v>
      </c>
      <c r="BF68" s="73" t="e">
        <f>AVERAGEIF($E$5:$E$30,$E68,BF$5:BF$30)</f>
        <v>#DIV/0!</v>
      </c>
      <c r="BG68" s="73" t="e">
        <f>AVERAGEIF($E$5:$E$30,$E68,BG$5:BG$30)</f>
        <v>#DIV/0!</v>
      </c>
      <c r="BH68" s="73" t="e">
        <f>AVERAGEIF($E$5:$E$30,$E68,BH$5:BH$30)</f>
        <v>#DIV/0!</v>
      </c>
      <c r="BI68" s="73" t="e">
        <f>AVERAGEIF($E$5:$E$30,$E68,BI$5:BI$30)</f>
        <v>#DIV/0!</v>
      </c>
      <c r="BJ68" s="73" t="e">
        <f>AVERAGEIF($E$5:$E$30,$E68,BJ$5:BJ$30)</f>
        <v>#DIV/0!</v>
      </c>
      <c r="BK68" s="73" t="e">
        <f>AVERAGEIF($E$5:$E$30,$E68,BK$5:BK$30)</f>
        <v>#DIV/0!</v>
      </c>
      <c r="BL68" s="73" t="e">
        <f>AVERAGEIF($E$5:$E$30,$E68,BL$5:BL$30)</f>
        <v>#DIV/0!</v>
      </c>
      <c r="BM68" s="73" t="e">
        <f>AVERAGEIF($E$5:$E$30,$E68,BM$5:BM$30)</f>
        <v>#DIV/0!</v>
      </c>
      <c r="BN68" s="73" t="e">
        <f>AVERAGEIF($E$5:$E$30,$E68,BN$5:BN$30)</f>
        <v>#DIV/0!</v>
      </c>
      <c r="BO68" s="73" t="e">
        <f>AVERAGEIF($E$5:$E$30,$E68,BO$5:BO$30)</f>
        <v>#DIV/0!</v>
      </c>
      <c r="BP68" s="73" t="e">
        <f>AVERAGEIF($E$5:$E$30,$E68,BP$5:BP$30)</f>
        <v>#DIV/0!</v>
      </c>
      <c r="BQ68" s="73" t="e">
        <f>AVERAGEIF($E$5:$E$30,$E68,BQ$5:BQ$30)</f>
        <v>#DIV/0!</v>
      </c>
      <c r="BR68" s="73" t="e">
        <f>AVERAGEIF($E$5:$E$30,$E68,BR$5:BR$30)</f>
        <v>#DIV/0!</v>
      </c>
      <c r="BS68" s="73" t="e">
        <f>AVERAGEIF($E$5:$E$30,$E68,BS$5:BS$30)</f>
        <v>#DIV/0!</v>
      </c>
      <c r="BT68" s="73" t="e">
        <f>AVERAGEIF($E$5:$E$30,$E68,BT$5:BT$30)</f>
        <v>#DIV/0!</v>
      </c>
      <c r="BU68" s="73" t="e">
        <f>AVERAGEIF($E$5:$E$30,$E68,BU$5:BU$30)</f>
        <v>#DIV/0!</v>
      </c>
      <c r="BV68" s="73" t="e">
        <f>AVERAGEIF($E$5:$E$30,$E68,BV$5:BV$30)</f>
        <v>#DIV/0!</v>
      </c>
      <c r="BW68" s="73" t="e">
        <f>AVERAGEIF($E$5:$E$30,$E68,BW$5:BW$30)</f>
        <v>#DIV/0!</v>
      </c>
      <c r="BX68" s="73" t="e">
        <f>AVERAGEIF($E$5:$E$30,$E68,BX$5:BX$30)</f>
        <v>#DIV/0!</v>
      </c>
      <c r="BY68" s="73" t="e">
        <f>AVERAGEIF($E$5:$E$30,$E68,BY$5:BY$30)</f>
        <v>#DIV/0!</v>
      </c>
      <c r="BZ68" s="73" t="e">
        <f>AVERAGEIF($E$5:$E$30,$E68,BZ$5:BZ$30)</f>
        <v>#DIV/0!</v>
      </c>
      <c r="CA68" s="73" t="e">
        <f>AVERAGEIF($E$5:$E$30,$E68,CA$5:CA$30)</f>
        <v>#DIV/0!</v>
      </c>
      <c r="CB68" s="73" t="e">
        <f>AVERAGEIF($E$5:$E$30,$E68,CB$5:CB$30)</f>
        <v>#DIV/0!</v>
      </c>
      <c r="CC68" s="73" t="e">
        <f>AVERAGEIF($E$5:$E$30,$E68,CC$5:CC$30)</f>
        <v>#DIV/0!</v>
      </c>
      <c r="CD68" s="73" t="e">
        <f>AVERAGEIF($E$5:$E$30,$E68,CD$5:CD$30)</f>
        <v>#DIV/0!</v>
      </c>
      <c r="CE68" s="73" t="e">
        <f>AVERAGEIF($E$5:$E$30,$E68,CE$5:CE$30)</f>
        <v>#DIV/0!</v>
      </c>
      <c r="CF68" s="73" t="e">
        <f>AVERAGEIF($E$5:$E$30,$E68,CF$5:CF$30)</f>
        <v>#DIV/0!</v>
      </c>
      <c r="CG68" s="73" t="e">
        <f>AVERAGEIF($E$5:$E$30,$E68,CG$5:CG$30)</f>
        <v>#DIV/0!</v>
      </c>
      <c r="CH68" s="73" t="e">
        <f>AVERAGEIF($E$5:$E$30,$E68,CH$5:CH$30)</f>
        <v>#DIV/0!</v>
      </c>
      <c r="CI68" s="73" t="e">
        <f>AVERAGEIF($E$5:$E$30,$E68,CI$5:CI$30)</f>
        <v>#DIV/0!</v>
      </c>
      <c r="CJ68" s="73" t="e">
        <f>AVERAGEIF($E$5:$E$30,$E68,CJ$5:CJ$30)</f>
        <v>#DIV/0!</v>
      </c>
      <c r="CK68" s="73" t="e">
        <f>AVERAGEIF($E$5:$E$30,$E68,CK$5:CK$30)</f>
        <v>#DIV/0!</v>
      </c>
      <c r="CL68" s="73" t="e">
        <f>AVERAGEIF($E$5:$E$30,$E68,CL$5:CL$30)</f>
        <v>#DIV/0!</v>
      </c>
      <c r="CM68" s="73" t="e">
        <f>AVERAGEIF($E$5:$E$30,$E68,CM$5:CM$30)</f>
        <v>#DIV/0!</v>
      </c>
      <c r="CN68" s="73" t="e">
        <f>AVERAGEIF($E$5:$E$30,$E68,CN$5:CN$30)</f>
        <v>#DIV/0!</v>
      </c>
      <c r="CO68" s="73" t="e">
        <f>AVERAGEIF($E$5:$E$30,$E68,CO$5:CO$30)</f>
        <v>#DIV/0!</v>
      </c>
      <c r="CP68" s="73" t="e">
        <f>AVERAGEIF($E$5:$E$30,$E68,CP$5:CP$30)</f>
        <v>#DIV/0!</v>
      </c>
      <c r="CQ68" s="73" t="e">
        <f>AVERAGEIF($E$5:$E$30,$E68,CQ$5:CQ$30)</f>
        <v>#DIV/0!</v>
      </c>
      <c r="CR68" s="73" t="e">
        <f>AVERAGEIF($E$5:$E$30,$E68,CR$5:CR$30)</f>
        <v>#DIV/0!</v>
      </c>
      <c r="CS68" s="73" t="e">
        <f>AVERAGEIF($E$5:$E$30,$E68,CS$5:CS$30)</f>
        <v>#DIV/0!</v>
      </c>
      <c r="CT68" s="73" t="e">
        <f>AVERAGEIF($E$5:$E$30,$E68,CT$5:CT$30)</f>
        <v>#DIV/0!</v>
      </c>
      <c r="CU68" s="73" t="e">
        <f>AVERAGEIF($E$5:$E$30,$E68,CU$5:CU$30)</f>
        <v>#DIV/0!</v>
      </c>
      <c r="CV68" s="73" t="e">
        <f>AVERAGEIF($E$5:$E$30,$E68,CV$5:CV$30)</f>
        <v>#DIV/0!</v>
      </c>
      <c r="CW68" s="76"/>
    </row>
    <row r="69" spans="1:101" ht="14.25" customHeight="1">
      <c r="A69" s="113"/>
      <c r="E69" s="93"/>
      <c r="I69" s="93"/>
      <c r="J69" s="227" t="e">
        <f t="array" ref="J69">_xlfn.STDEV.P(IF($E$5:$E$30=$E68,J$5:J$30))</f>
        <v>#DIV/0!</v>
      </c>
      <c r="K69" s="72" t="s">
        <v>11</v>
      </c>
      <c r="L69" s="81" t="e">
        <f t="array" ref="L69">_xlfn.STDEV.P(IF($E$5:$E$30=$E68,L$5:L$30))</f>
        <v>#DIV/0!</v>
      </c>
      <c r="M69" s="81" t="e">
        <f t="array" ref="M69">_xlfn.STDEV.P(IF($E$5:$E$30=$E68,M$5:M$30))</f>
        <v>#DIV/0!</v>
      </c>
      <c r="N69" s="81" t="e">
        <f t="array" ref="N69">_xlfn.STDEV.P(IF($E$5:$E$30=$E68,N$5:N$30))</f>
        <v>#DIV/0!</v>
      </c>
      <c r="O69" s="81" t="e">
        <f t="array" ref="O69">_xlfn.STDEV.P(IF($E$5:$E$30=$E68,O$5:O$30))</f>
        <v>#DIV/0!</v>
      </c>
      <c r="P69" s="81" t="e">
        <f t="array" ref="P69">_xlfn.STDEV.P(IF($E$5:$E$30=$E68,P$5:P$30))</f>
        <v>#DIV/0!</v>
      </c>
      <c r="Q69" s="81" t="e">
        <f t="array" ref="Q69">_xlfn.STDEV.P(IF($E$5:$E$30=$E68,Q$5:Q$30))</f>
        <v>#DIV/0!</v>
      </c>
      <c r="R69" s="81" t="e">
        <f t="array" ref="R69">_xlfn.STDEV.P(IF($E$5:$E$30=$E68,R$5:R$30))</f>
        <v>#DIV/0!</v>
      </c>
      <c r="S69" s="81" t="e">
        <f t="array" ref="S69">_xlfn.STDEV.P(IF($E$5:$E$30=$E68,S$5:S$30))</f>
        <v>#DIV/0!</v>
      </c>
      <c r="T69" s="81" t="e">
        <f t="array" ref="T69">_xlfn.STDEV.P(IF($E$5:$E$30=$E68,T$5:T$30))</f>
        <v>#DIV/0!</v>
      </c>
      <c r="U69" s="81" t="e">
        <f t="array" ref="U69">_xlfn.STDEV.P(IF($E$5:$E$30=$E68,U$5:U$30))</f>
        <v>#DIV/0!</v>
      </c>
      <c r="V69" s="81" t="e">
        <f t="array" ref="V69">_xlfn.STDEV.P(IF($E$5:$E$30=$E68,V$5:V$30))</f>
        <v>#DIV/0!</v>
      </c>
      <c r="W69" s="81" t="e">
        <f t="array" ref="W69">_xlfn.STDEV.P(IF($E$5:$E$30=$E68,W$5:W$30))</f>
        <v>#DIV/0!</v>
      </c>
      <c r="X69" s="81" t="e">
        <f t="array" ref="X69">_xlfn.STDEV.P(IF($E$5:$E$30=$E68,X$5:X$30))</f>
        <v>#DIV/0!</v>
      </c>
      <c r="Y69" s="81" t="e">
        <f t="array" ref="Y69">_xlfn.STDEV.P(IF($E$5:$E$30=$E68,Y$5:Y$30))</f>
        <v>#DIV/0!</v>
      </c>
      <c r="Z69" s="81" t="e">
        <f t="array" ref="Z69">_xlfn.STDEV.P(IF($E$5:$E$30=$E68,Z$5:Z$30))</f>
        <v>#DIV/0!</v>
      </c>
      <c r="AA69" s="81" t="e">
        <f t="array" ref="AA69">_xlfn.STDEV.P(IF($E$5:$E$30=$E68,AA$5:AA$30))</f>
        <v>#DIV/0!</v>
      </c>
      <c r="AB69" s="81" t="e">
        <f t="array" ref="AB69">_xlfn.STDEV.P(IF($E$5:$E$30=$E68,AB$5:AB$30))</f>
        <v>#DIV/0!</v>
      </c>
      <c r="AC69" s="81" t="e">
        <f t="array" ref="AC69">_xlfn.STDEV.P(IF($E$5:$E$30=$E68,AC$5:AC$30))</f>
        <v>#DIV/0!</v>
      </c>
      <c r="AD69" s="81" t="e">
        <f t="array" ref="AD69">_xlfn.STDEV.P(IF($E$5:$E$30=$E68,AD$5:AD$30))</f>
        <v>#DIV/0!</v>
      </c>
      <c r="AE69" s="81" t="e">
        <f t="array" ref="AE69">_xlfn.STDEV.P(IF($E$5:$E$30=$E68,AE$5:AE$30))</f>
        <v>#DIV/0!</v>
      </c>
      <c r="AF69" s="81" t="e">
        <f t="array" ref="AF69">_xlfn.STDEV.P(IF($E$5:$E$30=$E68,AF$5:AF$30))</f>
        <v>#DIV/0!</v>
      </c>
      <c r="AG69" s="81" t="e">
        <f t="array" ref="AG69">_xlfn.STDEV.P(IF($E$5:$E$30=$E68,AG$5:AG$30))</f>
        <v>#DIV/0!</v>
      </c>
      <c r="AH69" s="81" t="e">
        <f t="array" ref="AH69">_xlfn.STDEV.P(IF($E$5:$E$30=$E68,AH$5:AH$30))</f>
        <v>#DIV/0!</v>
      </c>
      <c r="AI69" s="81" t="e">
        <f t="array" ref="AI69">_xlfn.STDEV.P(IF($E$5:$E$30=$E68,AI$5:AI$30))</f>
        <v>#DIV/0!</v>
      </c>
      <c r="AJ69" s="81" t="e">
        <f t="array" ref="AJ69">_xlfn.STDEV.P(IF($E$5:$E$30=$E68,AJ$5:AJ$30))</f>
        <v>#DIV/0!</v>
      </c>
      <c r="AK69" s="81" t="e">
        <f t="array" ref="AK69">_xlfn.STDEV.P(IF($E$5:$E$30=$E68,AK$5:AK$30))</f>
        <v>#DIV/0!</v>
      </c>
      <c r="AL69" s="81" t="e">
        <f t="array" ref="AL69">_xlfn.STDEV.P(IF($E$5:$E$30=$E68,AL$5:AL$30))</f>
        <v>#DIV/0!</v>
      </c>
      <c r="AM69" s="81" t="e">
        <f t="array" ref="AM69">_xlfn.STDEV.P(IF($E$5:$E$30=$E68,AM$5:AM$30))</f>
        <v>#DIV/0!</v>
      </c>
      <c r="AN69" s="81" t="e">
        <f t="array" ref="AN69">_xlfn.STDEV.P(IF($E$5:$E$30=$E68,AN$5:AN$30))</f>
        <v>#DIV/0!</v>
      </c>
      <c r="AO69" s="81" t="e">
        <f t="array" ref="AO69">_xlfn.STDEV.P(IF($E$5:$E$30=$E68,AO$5:AO$30))</f>
        <v>#DIV/0!</v>
      </c>
      <c r="AP69" s="81" t="e">
        <f t="array" ref="AP69">_xlfn.STDEV.P(IF($E$5:$E$30=$E68,AP$5:AP$30))</f>
        <v>#DIV/0!</v>
      </c>
      <c r="AQ69" s="81" t="e">
        <f t="array" ref="AQ69">_xlfn.STDEV.P(IF($E$5:$E$30=$E68,AQ$5:AQ$30))</f>
        <v>#DIV/0!</v>
      </c>
      <c r="AR69" s="81" t="e">
        <f t="array" ref="AR69">_xlfn.STDEV.P(IF($E$5:$E$30=$E68,AR$5:AR$30))</f>
        <v>#DIV/0!</v>
      </c>
      <c r="AS69" s="81" t="e">
        <f t="array" ref="AS69">_xlfn.STDEV.P(IF($E$5:$E$30=$E68,AS$5:AS$30))</f>
        <v>#DIV/0!</v>
      </c>
      <c r="AT69" s="81" t="e">
        <f t="array" ref="AT69">_xlfn.STDEV.P(IF($E$5:$E$30=$E68,AT$5:AT$30))</f>
        <v>#DIV/0!</v>
      </c>
      <c r="AU69" s="81" t="e">
        <f t="array" ref="AU69">_xlfn.STDEV.P(IF($E$5:$E$30=$E68,AU$5:AU$30))</f>
        <v>#DIV/0!</v>
      </c>
      <c r="AV69" s="81" t="e">
        <f t="array" ref="AV69">_xlfn.STDEV.P(IF($E$5:$E$30=$E68,AV$5:AV$30))</f>
        <v>#DIV/0!</v>
      </c>
      <c r="AW69" s="81" t="e">
        <f t="array" ref="AW69">_xlfn.STDEV.P(IF($E$5:$E$30=$E68,AW$5:AW$30))</f>
        <v>#DIV/0!</v>
      </c>
      <c r="AX69" s="81" t="e">
        <f t="array" ref="AX69">_xlfn.STDEV.P(IF($E$5:$E$30=$E68,AX$5:AX$30))</f>
        <v>#DIV/0!</v>
      </c>
      <c r="AY69" s="81" t="e">
        <f t="array" ref="AY69">_xlfn.STDEV.P(IF($E$5:$E$30=$E68,AY$5:AY$30))</f>
        <v>#DIV/0!</v>
      </c>
      <c r="AZ69" s="81" t="e">
        <f t="array" ref="AZ69">_xlfn.STDEV.P(IF($E$5:$E$30=$E68,AZ$5:AZ$30))</f>
        <v>#DIV/0!</v>
      </c>
      <c r="BA69" s="81" t="e">
        <f t="array" ref="BA69">_xlfn.STDEV.P(IF($E$5:$E$30=$E68,BA$5:BA$30))</f>
        <v>#DIV/0!</v>
      </c>
      <c r="BB69" s="81" t="e">
        <f t="array" ref="BB69">_xlfn.STDEV.P(IF($E$5:$E$30=$E68,BB$5:BB$30))</f>
        <v>#DIV/0!</v>
      </c>
      <c r="BC69" s="81" t="e">
        <f t="array" ref="BC69">_xlfn.STDEV.P(IF($E$5:$E$30=$E68,BC$5:BC$30))</f>
        <v>#DIV/0!</v>
      </c>
      <c r="BD69" s="104" t="s">
        <v>11</v>
      </c>
      <c r="BE69" s="74" t="e">
        <f t="array" ref="BE69">_xlfn.STDEV.P(IF($E$5:$E$30=$E68,BE$5:BE$30))</f>
        <v>#DIV/0!</v>
      </c>
      <c r="BF69" s="74" t="e">
        <f t="array" ref="BF69">_xlfn.STDEV.P(IF($E$5:$E$30=$E68,BF$5:BF$30))</f>
        <v>#DIV/0!</v>
      </c>
      <c r="BG69" s="74" t="e">
        <f t="array" ref="BG69">_xlfn.STDEV.P(IF($E$5:$E$30=$E68,BG$5:BG$30))</f>
        <v>#DIV/0!</v>
      </c>
      <c r="BH69" s="74" t="e">
        <f t="array" ref="BH69">_xlfn.STDEV.P(IF($E$5:$E$30=$E68,BH$5:BH$30))</f>
        <v>#DIV/0!</v>
      </c>
      <c r="BI69" s="74" t="e">
        <f t="array" ref="BI69">_xlfn.STDEV.P(IF($E$5:$E$30=$E68,BI$5:BI$30))</f>
        <v>#DIV/0!</v>
      </c>
      <c r="BJ69" s="74" t="e">
        <f t="array" ref="BJ69">_xlfn.STDEV.P(IF($E$5:$E$30=$E68,BJ$5:BJ$30))</f>
        <v>#DIV/0!</v>
      </c>
      <c r="BK69" s="74" t="e">
        <f t="array" ref="BK69">_xlfn.STDEV.P(IF($E$5:$E$30=$E68,BK$5:BK$30))</f>
        <v>#DIV/0!</v>
      </c>
      <c r="BL69" s="74" t="e">
        <f t="array" ref="BL69">_xlfn.STDEV.P(IF($E$5:$E$30=$E68,BL$5:BL$30))</f>
        <v>#DIV/0!</v>
      </c>
      <c r="BM69" s="74" t="e">
        <f t="array" ref="BM69">_xlfn.STDEV.P(IF($E$5:$E$30=$E68,BM$5:BM$30))</f>
        <v>#DIV/0!</v>
      </c>
      <c r="BN69" s="74" t="e">
        <f t="array" ref="BN69">_xlfn.STDEV.P(IF($E$5:$E$30=$E68,BN$5:BN$30))</f>
        <v>#DIV/0!</v>
      </c>
      <c r="BO69" s="74" t="e">
        <f t="array" ref="BO69">_xlfn.STDEV.P(IF($E$5:$E$30=$E68,BO$5:BO$30))</f>
        <v>#DIV/0!</v>
      </c>
      <c r="BP69" s="74" t="e">
        <f t="array" ref="BP69">_xlfn.STDEV.P(IF($E$5:$E$30=$E68,BP$5:BP$30))</f>
        <v>#DIV/0!</v>
      </c>
      <c r="BQ69" s="74" t="e">
        <f t="array" ref="BQ69">_xlfn.STDEV.P(IF($E$5:$E$30=$E68,BQ$5:BQ$30))</f>
        <v>#DIV/0!</v>
      </c>
      <c r="BR69" s="74" t="e">
        <f t="array" ref="BR69">_xlfn.STDEV.P(IF($E$5:$E$30=$E68,BR$5:BR$30))</f>
        <v>#DIV/0!</v>
      </c>
      <c r="BS69" s="74" t="e">
        <f t="array" ref="BS69">_xlfn.STDEV.P(IF($E$5:$E$30=$E68,BS$5:BS$30))</f>
        <v>#DIV/0!</v>
      </c>
      <c r="BT69" s="74" t="e">
        <f t="array" ref="BT69">_xlfn.STDEV.P(IF($E$5:$E$30=$E68,BT$5:BT$30))</f>
        <v>#DIV/0!</v>
      </c>
      <c r="BU69" s="74" t="e">
        <f t="array" ref="BU69">_xlfn.STDEV.P(IF($E$5:$E$30=$E68,BU$5:BU$30))</f>
        <v>#DIV/0!</v>
      </c>
      <c r="BV69" s="74" t="e">
        <f t="array" ref="BV69">_xlfn.STDEV.P(IF($E$5:$E$30=$E68,BV$5:BV$30))</f>
        <v>#DIV/0!</v>
      </c>
      <c r="BW69" s="74" t="e">
        <f t="array" ref="BW69">_xlfn.STDEV.P(IF($E$5:$E$30=$E68,BW$5:BW$30))</f>
        <v>#DIV/0!</v>
      </c>
      <c r="BX69" s="74" t="e">
        <f t="array" ref="BX69">_xlfn.STDEV.P(IF($E$5:$E$30=$E68,BX$5:BX$30))</f>
        <v>#DIV/0!</v>
      </c>
      <c r="BY69" s="74" t="e">
        <f t="array" ref="BY69">_xlfn.STDEV.P(IF($E$5:$E$30=$E68,BY$5:BY$30))</f>
        <v>#DIV/0!</v>
      </c>
      <c r="BZ69" s="74" t="e">
        <f t="array" ref="BZ69">_xlfn.STDEV.P(IF($E$5:$E$30=$E68,BZ$5:BZ$30))</f>
        <v>#DIV/0!</v>
      </c>
      <c r="CA69" s="74" t="e">
        <f t="array" ref="CA69">_xlfn.STDEV.P(IF($E$5:$E$30=$E68,CA$5:CA$30))</f>
        <v>#DIV/0!</v>
      </c>
      <c r="CB69" s="74" t="e">
        <f t="array" ref="CB69">_xlfn.STDEV.P(IF($E$5:$E$30=$E68,CB$5:CB$30))</f>
        <v>#DIV/0!</v>
      </c>
      <c r="CC69" s="74" t="e">
        <f t="array" ref="CC69">_xlfn.STDEV.P(IF($E$5:$E$30=$E68,CC$5:CC$30))</f>
        <v>#DIV/0!</v>
      </c>
      <c r="CD69" s="74" t="e">
        <f t="array" ref="CD69">_xlfn.STDEV.P(IF($E$5:$E$30=$E68,CD$5:CD$30))</f>
        <v>#DIV/0!</v>
      </c>
      <c r="CE69" s="74" t="e">
        <f t="array" ref="CE69">_xlfn.STDEV.P(IF($E$5:$E$30=$E68,CE$5:CE$30))</f>
        <v>#DIV/0!</v>
      </c>
      <c r="CF69" s="74" t="e">
        <f t="array" ref="CF69">_xlfn.STDEV.P(IF($E$5:$E$30=$E68,CF$5:CF$30))</f>
        <v>#DIV/0!</v>
      </c>
      <c r="CG69" s="74" t="e">
        <f t="array" ref="CG69">_xlfn.STDEV.P(IF($E$5:$E$30=$E68,CG$5:CG$30))</f>
        <v>#DIV/0!</v>
      </c>
      <c r="CH69" s="74" t="e">
        <f t="array" ref="CH69">_xlfn.STDEV.P(IF($E$5:$E$30=$E68,CH$5:CH$30))</f>
        <v>#DIV/0!</v>
      </c>
      <c r="CI69" s="74" t="e">
        <f t="array" ref="CI69">_xlfn.STDEV.P(IF($E$5:$E$30=$E68,CI$5:CI$30))</f>
        <v>#DIV/0!</v>
      </c>
      <c r="CJ69" s="74" t="e">
        <f t="array" ref="CJ69">_xlfn.STDEV.P(IF($E$5:$E$30=$E68,CJ$5:CJ$30))</f>
        <v>#DIV/0!</v>
      </c>
      <c r="CK69" s="74" t="e">
        <f t="array" ref="CK69">_xlfn.STDEV.P(IF($E$5:$E$30=$E68,CK$5:CK$30))</f>
        <v>#DIV/0!</v>
      </c>
      <c r="CL69" s="74" t="e">
        <f t="array" ref="CL69">_xlfn.STDEV.P(IF($E$5:$E$30=$E68,CL$5:CL$30))</f>
        <v>#DIV/0!</v>
      </c>
      <c r="CM69" s="74" t="e">
        <f t="array" ref="CM69">_xlfn.STDEV.P(IF($E$5:$E$30=$E68,CM$5:CM$30))</f>
        <v>#DIV/0!</v>
      </c>
      <c r="CN69" s="74" t="e">
        <f t="array" ref="CN69">_xlfn.STDEV.P(IF($E$5:$E$30=$E68,CN$5:CN$30))</f>
        <v>#DIV/0!</v>
      </c>
      <c r="CO69" s="74" t="e">
        <f t="array" ref="CO69">_xlfn.STDEV.P(IF($E$5:$E$30=$E68,CO$5:CO$30))</f>
        <v>#DIV/0!</v>
      </c>
      <c r="CP69" s="74" t="e">
        <f t="array" ref="CP69">_xlfn.STDEV.P(IF($E$5:$E$30=$E68,CP$5:CP$30))</f>
        <v>#DIV/0!</v>
      </c>
      <c r="CQ69" s="74" t="e">
        <f t="array" ref="CQ69">_xlfn.STDEV.P(IF($E$5:$E$30=$E68,CQ$5:CQ$30))</f>
        <v>#DIV/0!</v>
      </c>
      <c r="CR69" s="74" t="e">
        <f t="array" ref="CR69">_xlfn.STDEV.P(IF($E$5:$E$30=$E68,CR$5:CR$30))</f>
        <v>#DIV/0!</v>
      </c>
      <c r="CS69" s="74" t="e">
        <f t="array" ref="CS69">_xlfn.STDEV.P(IF($E$5:$E$30=$E68,CS$5:CS$30))</f>
        <v>#DIV/0!</v>
      </c>
      <c r="CT69" s="74" t="e">
        <f t="array" ref="CT69">_xlfn.STDEV.P(IF($E$5:$E$30=$E68,CT$5:CT$30))</f>
        <v>#DIV/0!</v>
      </c>
      <c r="CU69" s="74" t="e">
        <f t="array" ref="CU69">_xlfn.STDEV.P(IF($E$5:$E$30=$E68,CU$5:CU$30))</f>
        <v>#DIV/0!</v>
      </c>
      <c r="CV69" s="74" t="e">
        <f t="array" ref="CV69">_xlfn.STDEV.P(IF($E$5:$E$30=$E68,CV$5:CV$30))</f>
        <v>#DIV/0!</v>
      </c>
      <c r="CW69" s="76"/>
    </row>
    <row r="70" spans="1:101" ht="15">
      <c r="A70" s="113"/>
      <c r="E70" s="118"/>
      <c r="I70" s="52"/>
    </row>
    <row r="71" spans="1:101" ht="14.25" customHeight="1">
      <c r="A71" s="113"/>
      <c r="E71" s="118" t="str">
        <f>'FIG6 Groups'!C18</f>
        <v>Group 13</v>
      </c>
      <c r="I71" s="118" t="str">
        <f>E71</f>
        <v>Group 13</v>
      </c>
      <c r="J71" s="227" t="e">
        <f>AVERAGEIF($E$5:$E$30,$E71,J$5:J$30)</f>
        <v>#DIV/0!</v>
      </c>
      <c r="K71" s="72" t="s">
        <v>9</v>
      </c>
      <c r="L71" s="78" t="e">
        <f>AVERAGEIF($E$5:$E$30,$E71,L$5:L$30)</f>
        <v>#DIV/0!</v>
      </c>
      <c r="M71" s="78" t="e">
        <f>AVERAGEIF($E$5:$E$30,$E71,M$5:M$30)</f>
        <v>#DIV/0!</v>
      </c>
      <c r="N71" s="78" t="e">
        <f>AVERAGEIF($E$5:$E$30,$E71,N$5:N$30)</f>
        <v>#DIV/0!</v>
      </c>
      <c r="O71" s="78" t="e">
        <f>AVERAGEIF($E$5:$E$30,$E71,O$5:O$30)</f>
        <v>#DIV/0!</v>
      </c>
      <c r="P71" s="78" t="e">
        <f>AVERAGEIF($E$5:$E$30,$E71,P$5:P$30)</f>
        <v>#DIV/0!</v>
      </c>
      <c r="Q71" s="78" t="e">
        <f>AVERAGEIF($E$5:$E$30,$E71,Q$5:Q$30)</f>
        <v>#DIV/0!</v>
      </c>
      <c r="R71" s="78" t="e">
        <f>AVERAGEIF($E$5:$E$30,$E71,R$5:R$30)</f>
        <v>#DIV/0!</v>
      </c>
      <c r="S71" s="78" t="e">
        <f>AVERAGEIF($E$5:$E$30,$E71,S$5:S$30)</f>
        <v>#DIV/0!</v>
      </c>
      <c r="T71" s="78" t="e">
        <f>AVERAGEIF($E$5:$E$30,$E71,T$5:T$30)</f>
        <v>#DIV/0!</v>
      </c>
      <c r="U71" s="78" t="e">
        <f>AVERAGEIF($E$5:$E$30,$E71,U$5:U$30)</f>
        <v>#DIV/0!</v>
      </c>
      <c r="V71" s="78" t="e">
        <f>AVERAGEIF($E$5:$E$30,$E71,V$5:V$30)</f>
        <v>#DIV/0!</v>
      </c>
      <c r="W71" s="78" t="e">
        <f>AVERAGEIF($E$5:$E$30,$E71,W$5:W$30)</f>
        <v>#DIV/0!</v>
      </c>
      <c r="X71" s="78" t="e">
        <f>AVERAGEIF($E$5:$E$30,$E71,X$5:X$30)</f>
        <v>#DIV/0!</v>
      </c>
      <c r="Y71" s="78" t="e">
        <f>AVERAGEIF($E$5:$E$30,$E71,Y$5:Y$30)</f>
        <v>#DIV/0!</v>
      </c>
      <c r="Z71" s="78" t="e">
        <f>AVERAGEIF($E$5:$E$30,$E71,Z$5:Z$30)</f>
        <v>#DIV/0!</v>
      </c>
      <c r="AA71" s="78" t="e">
        <f>AVERAGEIF($E$5:$E$30,$E71,AA$5:AA$30)</f>
        <v>#DIV/0!</v>
      </c>
      <c r="AB71" s="78" t="e">
        <f>AVERAGEIF($E$5:$E$30,$E71,AB$5:AB$30)</f>
        <v>#DIV/0!</v>
      </c>
      <c r="AC71" s="78" t="e">
        <f>AVERAGEIF($E$5:$E$30,$E71,AC$5:AC$30)</f>
        <v>#DIV/0!</v>
      </c>
      <c r="AD71" s="78" t="e">
        <f>AVERAGEIF($E$5:$E$30,$E71,AD$5:AD$30)</f>
        <v>#DIV/0!</v>
      </c>
      <c r="AE71" s="78" t="e">
        <f>AVERAGEIF($E$5:$E$30,$E71,AE$5:AE$30)</f>
        <v>#DIV/0!</v>
      </c>
      <c r="AF71" s="78" t="e">
        <f>AVERAGEIF($E$5:$E$30,$E71,AF$5:AF$30)</f>
        <v>#DIV/0!</v>
      </c>
      <c r="AG71" s="78" t="e">
        <f>AVERAGEIF($E$5:$E$30,$E71,AG$5:AG$30)</f>
        <v>#DIV/0!</v>
      </c>
      <c r="AH71" s="78" t="e">
        <f>AVERAGEIF($E$5:$E$30,$E71,AH$5:AH$30)</f>
        <v>#DIV/0!</v>
      </c>
      <c r="AI71" s="78" t="e">
        <f>AVERAGEIF($E$5:$E$30,$E71,AI$5:AI$30)</f>
        <v>#DIV/0!</v>
      </c>
      <c r="AJ71" s="78" t="e">
        <f>AVERAGEIF($E$5:$E$30,$E71,AJ$5:AJ$30)</f>
        <v>#DIV/0!</v>
      </c>
      <c r="AK71" s="78" t="e">
        <f>AVERAGEIF($E$5:$E$30,$E71,AK$5:AK$30)</f>
        <v>#DIV/0!</v>
      </c>
      <c r="AL71" s="78" t="e">
        <f>AVERAGEIF($E$5:$E$30,$E71,AL$5:AL$30)</f>
        <v>#DIV/0!</v>
      </c>
      <c r="AM71" s="78" t="e">
        <f>AVERAGEIF($E$5:$E$30,$E71,AM$5:AM$30)</f>
        <v>#DIV/0!</v>
      </c>
      <c r="AN71" s="78" t="e">
        <f>AVERAGEIF($E$5:$E$30,$E71,AN$5:AN$30)</f>
        <v>#DIV/0!</v>
      </c>
      <c r="AO71" s="78" t="e">
        <f>AVERAGEIF($E$5:$E$30,$E71,AO$5:AO$30)</f>
        <v>#DIV/0!</v>
      </c>
      <c r="AP71" s="78" t="e">
        <f>AVERAGEIF($E$5:$E$30,$E71,AP$5:AP$30)</f>
        <v>#DIV/0!</v>
      </c>
      <c r="AQ71" s="78" t="e">
        <f>AVERAGEIF($E$5:$E$30,$E71,AQ$5:AQ$30)</f>
        <v>#DIV/0!</v>
      </c>
      <c r="AR71" s="78" t="e">
        <f>AVERAGEIF($E$5:$E$30,$E71,AR$5:AR$30)</f>
        <v>#DIV/0!</v>
      </c>
      <c r="AS71" s="78" t="e">
        <f>AVERAGEIF($E$5:$E$30,$E71,AS$5:AS$30)</f>
        <v>#DIV/0!</v>
      </c>
      <c r="AT71" s="78" t="e">
        <f>AVERAGEIF($E$5:$E$30,$E71,AT$5:AT$30)</f>
        <v>#DIV/0!</v>
      </c>
      <c r="AU71" s="78" t="e">
        <f>AVERAGEIF($E$5:$E$30,$E71,AU$5:AU$30)</f>
        <v>#DIV/0!</v>
      </c>
      <c r="AV71" s="78" t="e">
        <f>AVERAGEIF($E$5:$E$30,$E71,AV$5:AV$30)</f>
        <v>#DIV/0!</v>
      </c>
      <c r="AW71" s="78" t="e">
        <f>AVERAGEIF($E$5:$E$30,$E71,AW$5:AW$30)</f>
        <v>#DIV/0!</v>
      </c>
      <c r="AX71" s="78" t="e">
        <f>AVERAGEIF($E$5:$E$30,$E71,AX$5:AX$30)</f>
        <v>#DIV/0!</v>
      </c>
      <c r="AY71" s="78" t="e">
        <f>AVERAGEIF($E$5:$E$30,$E71,AY$5:AY$30)</f>
        <v>#DIV/0!</v>
      </c>
      <c r="AZ71" s="78" t="e">
        <f>AVERAGEIF($E$5:$E$30,$E71,AZ$5:AZ$30)</f>
        <v>#DIV/0!</v>
      </c>
      <c r="BA71" s="78" t="e">
        <f>AVERAGEIF($E$5:$E$30,$E71,BA$5:BA$30)</f>
        <v>#DIV/0!</v>
      </c>
      <c r="BB71" s="78" t="e">
        <f>AVERAGEIF($E$5:$E$30,$E71,BB$5:BB$30)</f>
        <v>#DIV/0!</v>
      </c>
      <c r="BC71" s="78" t="e">
        <f>AVERAGEIF($E$5:$E$30,$E71,BC$5:BC$30)</f>
        <v>#DIV/0!</v>
      </c>
      <c r="BD71" s="103" t="s">
        <v>9</v>
      </c>
      <c r="BE71" s="73" t="e">
        <f>AVERAGEIF($E$5:$E$30,$E71,BE$5:BE$30)</f>
        <v>#DIV/0!</v>
      </c>
      <c r="BF71" s="73" t="e">
        <f>AVERAGEIF($E$5:$E$30,$E71,BF$5:BF$30)</f>
        <v>#DIV/0!</v>
      </c>
      <c r="BG71" s="73" t="e">
        <f>AVERAGEIF($E$5:$E$30,$E71,BG$5:BG$30)</f>
        <v>#DIV/0!</v>
      </c>
      <c r="BH71" s="73" t="e">
        <f>AVERAGEIF($E$5:$E$30,$E71,BH$5:BH$30)</f>
        <v>#DIV/0!</v>
      </c>
      <c r="BI71" s="73" t="e">
        <f>AVERAGEIF($E$5:$E$30,$E71,BI$5:BI$30)</f>
        <v>#DIV/0!</v>
      </c>
      <c r="BJ71" s="73" t="e">
        <f>AVERAGEIF($E$5:$E$30,$E71,BJ$5:BJ$30)</f>
        <v>#DIV/0!</v>
      </c>
      <c r="BK71" s="73" t="e">
        <f>AVERAGEIF($E$5:$E$30,$E71,BK$5:BK$30)</f>
        <v>#DIV/0!</v>
      </c>
      <c r="BL71" s="73" t="e">
        <f>AVERAGEIF($E$5:$E$30,$E71,BL$5:BL$30)</f>
        <v>#DIV/0!</v>
      </c>
      <c r="BM71" s="73" t="e">
        <f>AVERAGEIF($E$5:$E$30,$E71,BM$5:BM$30)</f>
        <v>#DIV/0!</v>
      </c>
      <c r="BN71" s="73" t="e">
        <f>AVERAGEIF($E$5:$E$30,$E71,BN$5:BN$30)</f>
        <v>#DIV/0!</v>
      </c>
      <c r="BO71" s="73" t="e">
        <f>AVERAGEIF($E$5:$E$30,$E71,BO$5:BO$30)</f>
        <v>#DIV/0!</v>
      </c>
      <c r="BP71" s="73" t="e">
        <f>AVERAGEIF($E$5:$E$30,$E71,BP$5:BP$30)</f>
        <v>#DIV/0!</v>
      </c>
      <c r="BQ71" s="73" t="e">
        <f>AVERAGEIF($E$5:$E$30,$E71,BQ$5:BQ$30)</f>
        <v>#DIV/0!</v>
      </c>
      <c r="BR71" s="73" t="e">
        <f>AVERAGEIF($E$5:$E$30,$E71,BR$5:BR$30)</f>
        <v>#DIV/0!</v>
      </c>
      <c r="BS71" s="73" t="e">
        <f>AVERAGEIF($E$5:$E$30,$E71,BS$5:BS$30)</f>
        <v>#DIV/0!</v>
      </c>
      <c r="BT71" s="73" t="e">
        <f>AVERAGEIF($E$5:$E$30,$E71,BT$5:BT$30)</f>
        <v>#DIV/0!</v>
      </c>
      <c r="BU71" s="73" t="e">
        <f>AVERAGEIF($E$5:$E$30,$E71,BU$5:BU$30)</f>
        <v>#DIV/0!</v>
      </c>
      <c r="BV71" s="73" t="e">
        <f>AVERAGEIF($E$5:$E$30,$E71,BV$5:BV$30)</f>
        <v>#DIV/0!</v>
      </c>
      <c r="BW71" s="73" t="e">
        <f>AVERAGEIF($E$5:$E$30,$E71,BW$5:BW$30)</f>
        <v>#DIV/0!</v>
      </c>
      <c r="BX71" s="73" t="e">
        <f>AVERAGEIF($E$5:$E$30,$E71,BX$5:BX$30)</f>
        <v>#DIV/0!</v>
      </c>
      <c r="BY71" s="73" t="e">
        <f>AVERAGEIF($E$5:$E$30,$E71,BY$5:BY$30)</f>
        <v>#DIV/0!</v>
      </c>
      <c r="BZ71" s="73" t="e">
        <f>AVERAGEIF($E$5:$E$30,$E71,BZ$5:BZ$30)</f>
        <v>#DIV/0!</v>
      </c>
      <c r="CA71" s="73" t="e">
        <f>AVERAGEIF($E$5:$E$30,$E71,CA$5:CA$30)</f>
        <v>#DIV/0!</v>
      </c>
      <c r="CB71" s="73" t="e">
        <f>AVERAGEIF($E$5:$E$30,$E71,CB$5:CB$30)</f>
        <v>#DIV/0!</v>
      </c>
      <c r="CC71" s="73" t="e">
        <f>AVERAGEIF($E$5:$E$30,$E71,CC$5:CC$30)</f>
        <v>#DIV/0!</v>
      </c>
      <c r="CD71" s="73" t="e">
        <f>AVERAGEIF($E$5:$E$30,$E71,CD$5:CD$30)</f>
        <v>#DIV/0!</v>
      </c>
      <c r="CE71" s="73" t="e">
        <f>AVERAGEIF($E$5:$E$30,$E71,CE$5:CE$30)</f>
        <v>#DIV/0!</v>
      </c>
      <c r="CF71" s="73" t="e">
        <f>AVERAGEIF($E$5:$E$30,$E71,CF$5:CF$30)</f>
        <v>#DIV/0!</v>
      </c>
      <c r="CG71" s="73" t="e">
        <f>AVERAGEIF($E$5:$E$30,$E71,CG$5:CG$30)</f>
        <v>#DIV/0!</v>
      </c>
      <c r="CH71" s="73" t="e">
        <f>AVERAGEIF($E$5:$E$30,$E71,CH$5:CH$30)</f>
        <v>#DIV/0!</v>
      </c>
      <c r="CI71" s="73" t="e">
        <f>AVERAGEIF($E$5:$E$30,$E71,CI$5:CI$30)</f>
        <v>#DIV/0!</v>
      </c>
      <c r="CJ71" s="73" t="e">
        <f>AVERAGEIF($E$5:$E$30,$E71,CJ$5:CJ$30)</f>
        <v>#DIV/0!</v>
      </c>
      <c r="CK71" s="73" t="e">
        <f>AVERAGEIF($E$5:$E$30,$E71,CK$5:CK$30)</f>
        <v>#DIV/0!</v>
      </c>
      <c r="CL71" s="73" t="e">
        <f>AVERAGEIF($E$5:$E$30,$E71,CL$5:CL$30)</f>
        <v>#DIV/0!</v>
      </c>
      <c r="CM71" s="73" t="e">
        <f>AVERAGEIF($E$5:$E$30,$E71,CM$5:CM$30)</f>
        <v>#DIV/0!</v>
      </c>
      <c r="CN71" s="73" t="e">
        <f>AVERAGEIF($E$5:$E$30,$E71,CN$5:CN$30)</f>
        <v>#DIV/0!</v>
      </c>
      <c r="CO71" s="73" t="e">
        <f>AVERAGEIF($E$5:$E$30,$E71,CO$5:CO$30)</f>
        <v>#DIV/0!</v>
      </c>
      <c r="CP71" s="73" t="e">
        <f>AVERAGEIF($E$5:$E$30,$E71,CP$5:CP$30)</f>
        <v>#DIV/0!</v>
      </c>
      <c r="CQ71" s="73" t="e">
        <f>AVERAGEIF($E$5:$E$30,$E71,CQ$5:CQ$30)</f>
        <v>#DIV/0!</v>
      </c>
      <c r="CR71" s="73" t="e">
        <f>AVERAGEIF($E$5:$E$30,$E71,CR$5:CR$30)</f>
        <v>#DIV/0!</v>
      </c>
      <c r="CS71" s="73" t="e">
        <f>AVERAGEIF($E$5:$E$30,$E71,CS$5:CS$30)</f>
        <v>#DIV/0!</v>
      </c>
      <c r="CT71" s="73" t="e">
        <f>AVERAGEIF($E$5:$E$30,$E71,CT$5:CT$30)</f>
        <v>#DIV/0!</v>
      </c>
      <c r="CU71" s="73" t="e">
        <f>AVERAGEIF($E$5:$E$30,$E71,CU$5:CU$30)</f>
        <v>#DIV/0!</v>
      </c>
      <c r="CV71" s="73" t="e">
        <f>AVERAGEIF($E$5:$E$30,$E71,CV$5:CV$30)</f>
        <v>#DIV/0!</v>
      </c>
      <c r="CW71" s="76"/>
    </row>
    <row r="72" spans="1:101" ht="14.25" customHeight="1">
      <c r="A72" s="113"/>
      <c r="E72" s="93"/>
      <c r="I72" s="93"/>
      <c r="J72" s="227" t="e">
        <f t="array" ref="J72">_xlfn.STDEV.P(IF($E$5:$E$30=$E71,J$5:J$30))</f>
        <v>#DIV/0!</v>
      </c>
      <c r="K72" s="72" t="s">
        <v>11</v>
      </c>
      <c r="L72" s="81" t="e">
        <f t="array" ref="L72">_xlfn.STDEV.P(IF($E$5:$E$30=$E71,L$5:L$30))</f>
        <v>#DIV/0!</v>
      </c>
      <c r="M72" s="81" t="e">
        <f t="array" ref="M72">_xlfn.STDEV.P(IF($E$5:$E$30=$E71,M$5:M$30))</f>
        <v>#DIV/0!</v>
      </c>
      <c r="N72" s="81" t="e">
        <f t="array" ref="N72">_xlfn.STDEV.P(IF($E$5:$E$30=$E71,N$5:N$30))</f>
        <v>#DIV/0!</v>
      </c>
      <c r="O72" s="81" t="e">
        <f t="array" ref="O72">_xlfn.STDEV.P(IF($E$5:$E$30=$E71,O$5:O$30))</f>
        <v>#DIV/0!</v>
      </c>
      <c r="P72" s="81" t="e">
        <f t="array" ref="P72">_xlfn.STDEV.P(IF($E$5:$E$30=$E71,P$5:P$30))</f>
        <v>#DIV/0!</v>
      </c>
      <c r="Q72" s="81" t="e">
        <f t="array" ref="Q72">_xlfn.STDEV.P(IF($E$5:$E$30=$E71,Q$5:Q$30))</f>
        <v>#DIV/0!</v>
      </c>
      <c r="R72" s="81" t="e">
        <f t="array" ref="R72">_xlfn.STDEV.P(IF($E$5:$E$30=$E71,R$5:R$30))</f>
        <v>#DIV/0!</v>
      </c>
      <c r="S72" s="81" t="e">
        <f t="array" ref="S72">_xlfn.STDEV.P(IF($E$5:$E$30=$E71,S$5:S$30))</f>
        <v>#DIV/0!</v>
      </c>
      <c r="T72" s="81" t="e">
        <f t="array" ref="T72">_xlfn.STDEV.P(IF($E$5:$E$30=$E71,T$5:T$30))</f>
        <v>#DIV/0!</v>
      </c>
      <c r="U72" s="81" t="e">
        <f t="array" ref="U72">_xlfn.STDEV.P(IF($E$5:$E$30=$E71,U$5:U$30))</f>
        <v>#DIV/0!</v>
      </c>
      <c r="V72" s="81" t="e">
        <f t="array" ref="V72">_xlfn.STDEV.P(IF($E$5:$E$30=$E71,V$5:V$30))</f>
        <v>#DIV/0!</v>
      </c>
      <c r="W72" s="81" t="e">
        <f t="array" ref="W72">_xlfn.STDEV.P(IF($E$5:$E$30=$E71,W$5:W$30))</f>
        <v>#DIV/0!</v>
      </c>
      <c r="X72" s="81" t="e">
        <f t="array" ref="X72">_xlfn.STDEV.P(IF($E$5:$E$30=$E71,X$5:X$30))</f>
        <v>#DIV/0!</v>
      </c>
      <c r="Y72" s="81" t="e">
        <f t="array" ref="Y72">_xlfn.STDEV.P(IF($E$5:$E$30=$E71,Y$5:Y$30))</f>
        <v>#DIV/0!</v>
      </c>
      <c r="Z72" s="81" t="e">
        <f t="array" ref="Z72">_xlfn.STDEV.P(IF($E$5:$E$30=$E71,Z$5:Z$30))</f>
        <v>#DIV/0!</v>
      </c>
      <c r="AA72" s="81" t="e">
        <f t="array" ref="AA72">_xlfn.STDEV.P(IF($E$5:$E$30=$E71,AA$5:AA$30))</f>
        <v>#DIV/0!</v>
      </c>
      <c r="AB72" s="81" t="e">
        <f t="array" ref="AB72">_xlfn.STDEV.P(IF($E$5:$E$30=$E71,AB$5:AB$30))</f>
        <v>#DIV/0!</v>
      </c>
      <c r="AC72" s="81" t="e">
        <f t="array" ref="AC72">_xlfn.STDEV.P(IF($E$5:$E$30=$E71,AC$5:AC$30))</f>
        <v>#DIV/0!</v>
      </c>
      <c r="AD72" s="81" t="e">
        <f t="array" ref="AD72">_xlfn.STDEV.P(IF($E$5:$E$30=$E71,AD$5:AD$30))</f>
        <v>#DIV/0!</v>
      </c>
      <c r="AE72" s="81" t="e">
        <f t="array" ref="AE72">_xlfn.STDEV.P(IF($E$5:$E$30=$E71,AE$5:AE$30))</f>
        <v>#DIV/0!</v>
      </c>
      <c r="AF72" s="81" t="e">
        <f t="array" ref="AF72">_xlfn.STDEV.P(IF($E$5:$E$30=$E71,AF$5:AF$30))</f>
        <v>#DIV/0!</v>
      </c>
      <c r="AG72" s="81" t="e">
        <f t="array" ref="AG72">_xlfn.STDEV.P(IF($E$5:$E$30=$E71,AG$5:AG$30))</f>
        <v>#DIV/0!</v>
      </c>
      <c r="AH72" s="81" t="e">
        <f t="array" ref="AH72">_xlfn.STDEV.P(IF($E$5:$E$30=$E71,AH$5:AH$30))</f>
        <v>#DIV/0!</v>
      </c>
      <c r="AI72" s="81" t="e">
        <f t="array" ref="AI72">_xlfn.STDEV.P(IF($E$5:$E$30=$E71,AI$5:AI$30))</f>
        <v>#DIV/0!</v>
      </c>
      <c r="AJ72" s="81" t="e">
        <f t="array" ref="AJ72">_xlfn.STDEV.P(IF($E$5:$E$30=$E71,AJ$5:AJ$30))</f>
        <v>#DIV/0!</v>
      </c>
      <c r="AK72" s="81" t="e">
        <f t="array" ref="AK72">_xlfn.STDEV.P(IF($E$5:$E$30=$E71,AK$5:AK$30))</f>
        <v>#DIV/0!</v>
      </c>
      <c r="AL72" s="81" t="e">
        <f t="array" ref="AL72">_xlfn.STDEV.P(IF($E$5:$E$30=$E71,AL$5:AL$30))</f>
        <v>#DIV/0!</v>
      </c>
      <c r="AM72" s="81" t="e">
        <f t="array" ref="AM72">_xlfn.STDEV.P(IF($E$5:$E$30=$E71,AM$5:AM$30))</f>
        <v>#DIV/0!</v>
      </c>
      <c r="AN72" s="81" t="e">
        <f t="array" ref="AN72">_xlfn.STDEV.P(IF($E$5:$E$30=$E71,AN$5:AN$30))</f>
        <v>#DIV/0!</v>
      </c>
      <c r="AO72" s="81" t="e">
        <f t="array" ref="AO72">_xlfn.STDEV.P(IF($E$5:$E$30=$E71,AO$5:AO$30))</f>
        <v>#DIV/0!</v>
      </c>
      <c r="AP72" s="81" t="e">
        <f t="array" ref="AP72">_xlfn.STDEV.P(IF($E$5:$E$30=$E71,AP$5:AP$30))</f>
        <v>#DIV/0!</v>
      </c>
      <c r="AQ72" s="81" t="e">
        <f t="array" ref="AQ72">_xlfn.STDEV.P(IF($E$5:$E$30=$E71,AQ$5:AQ$30))</f>
        <v>#DIV/0!</v>
      </c>
      <c r="AR72" s="81" t="e">
        <f t="array" ref="AR72">_xlfn.STDEV.P(IF($E$5:$E$30=$E71,AR$5:AR$30))</f>
        <v>#DIV/0!</v>
      </c>
      <c r="AS72" s="81" t="e">
        <f t="array" ref="AS72">_xlfn.STDEV.P(IF($E$5:$E$30=$E71,AS$5:AS$30))</f>
        <v>#DIV/0!</v>
      </c>
      <c r="AT72" s="81" t="e">
        <f t="array" ref="AT72">_xlfn.STDEV.P(IF($E$5:$E$30=$E71,AT$5:AT$30))</f>
        <v>#DIV/0!</v>
      </c>
      <c r="AU72" s="81" t="e">
        <f t="array" ref="AU72">_xlfn.STDEV.P(IF($E$5:$E$30=$E71,AU$5:AU$30))</f>
        <v>#DIV/0!</v>
      </c>
      <c r="AV72" s="81" t="e">
        <f t="array" ref="AV72">_xlfn.STDEV.P(IF($E$5:$E$30=$E71,AV$5:AV$30))</f>
        <v>#DIV/0!</v>
      </c>
      <c r="AW72" s="81" t="e">
        <f t="array" ref="AW72">_xlfn.STDEV.P(IF($E$5:$E$30=$E71,AW$5:AW$30))</f>
        <v>#DIV/0!</v>
      </c>
      <c r="AX72" s="81" t="e">
        <f t="array" ref="AX72">_xlfn.STDEV.P(IF($E$5:$E$30=$E71,AX$5:AX$30))</f>
        <v>#DIV/0!</v>
      </c>
      <c r="AY72" s="81" t="e">
        <f t="array" ref="AY72">_xlfn.STDEV.P(IF($E$5:$E$30=$E71,AY$5:AY$30))</f>
        <v>#DIV/0!</v>
      </c>
      <c r="AZ72" s="81" t="e">
        <f t="array" ref="AZ72">_xlfn.STDEV.P(IF($E$5:$E$30=$E71,AZ$5:AZ$30))</f>
        <v>#DIV/0!</v>
      </c>
      <c r="BA72" s="81" t="e">
        <f t="array" ref="BA72">_xlfn.STDEV.P(IF($E$5:$E$30=$E71,BA$5:BA$30))</f>
        <v>#DIV/0!</v>
      </c>
      <c r="BB72" s="81" t="e">
        <f t="array" ref="BB72">_xlfn.STDEV.P(IF($E$5:$E$30=$E71,BB$5:BB$30))</f>
        <v>#DIV/0!</v>
      </c>
      <c r="BC72" s="81" t="e">
        <f t="array" ref="BC72">_xlfn.STDEV.P(IF($E$5:$E$30=$E71,BC$5:BC$30))</f>
        <v>#DIV/0!</v>
      </c>
      <c r="BD72" s="104" t="s">
        <v>11</v>
      </c>
      <c r="BE72" s="74" t="e">
        <f t="array" ref="BE72">_xlfn.STDEV.P(IF($E$5:$E$30=$E71,BE$5:BE$30))</f>
        <v>#DIV/0!</v>
      </c>
      <c r="BF72" s="74" t="e">
        <f t="array" ref="BF72">_xlfn.STDEV.P(IF($E$5:$E$30=$E71,BF$5:BF$30))</f>
        <v>#DIV/0!</v>
      </c>
      <c r="BG72" s="74" t="e">
        <f t="array" ref="BG72">_xlfn.STDEV.P(IF($E$5:$E$30=$E71,BG$5:BG$30))</f>
        <v>#DIV/0!</v>
      </c>
      <c r="BH72" s="74" t="e">
        <f t="array" ref="BH72">_xlfn.STDEV.P(IF($E$5:$E$30=$E71,BH$5:BH$30))</f>
        <v>#DIV/0!</v>
      </c>
      <c r="BI72" s="74" t="e">
        <f t="array" ref="BI72">_xlfn.STDEV.P(IF($E$5:$E$30=$E71,BI$5:BI$30))</f>
        <v>#DIV/0!</v>
      </c>
      <c r="BJ72" s="74" t="e">
        <f t="array" ref="BJ72">_xlfn.STDEV.P(IF($E$5:$E$30=$E71,BJ$5:BJ$30))</f>
        <v>#DIV/0!</v>
      </c>
      <c r="BK72" s="74" t="e">
        <f t="array" ref="BK72">_xlfn.STDEV.P(IF($E$5:$E$30=$E71,BK$5:BK$30))</f>
        <v>#DIV/0!</v>
      </c>
      <c r="BL72" s="74" t="e">
        <f t="array" ref="BL72">_xlfn.STDEV.P(IF($E$5:$E$30=$E71,BL$5:BL$30))</f>
        <v>#DIV/0!</v>
      </c>
      <c r="BM72" s="74" t="e">
        <f t="array" ref="BM72">_xlfn.STDEV.P(IF($E$5:$E$30=$E71,BM$5:BM$30))</f>
        <v>#DIV/0!</v>
      </c>
      <c r="BN72" s="74" t="e">
        <f t="array" ref="BN72">_xlfn.STDEV.P(IF($E$5:$E$30=$E71,BN$5:BN$30))</f>
        <v>#DIV/0!</v>
      </c>
      <c r="BO72" s="74" t="e">
        <f t="array" ref="BO72">_xlfn.STDEV.P(IF($E$5:$E$30=$E71,BO$5:BO$30))</f>
        <v>#DIV/0!</v>
      </c>
      <c r="BP72" s="74" t="e">
        <f t="array" ref="BP72">_xlfn.STDEV.P(IF($E$5:$E$30=$E71,BP$5:BP$30))</f>
        <v>#DIV/0!</v>
      </c>
      <c r="BQ72" s="74" t="e">
        <f t="array" ref="BQ72">_xlfn.STDEV.P(IF($E$5:$E$30=$E71,BQ$5:BQ$30))</f>
        <v>#DIV/0!</v>
      </c>
      <c r="BR72" s="74" t="e">
        <f t="array" ref="BR72">_xlfn.STDEV.P(IF($E$5:$E$30=$E71,BR$5:BR$30))</f>
        <v>#DIV/0!</v>
      </c>
      <c r="BS72" s="74" t="e">
        <f t="array" ref="BS72">_xlfn.STDEV.P(IF($E$5:$E$30=$E71,BS$5:BS$30))</f>
        <v>#DIV/0!</v>
      </c>
      <c r="BT72" s="74" t="e">
        <f t="array" ref="BT72">_xlfn.STDEV.P(IF($E$5:$E$30=$E71,BT$5:BT$30))</f>
        <v>#DIV/0!</v>
      </c>
      <c r="BU72" s="74" t="e">
        <f t="array" ref="BU72">_xlfn.STDEV.P(IF($E$5:$E$30=$E71,BU$5:BU$30))</f>
        <v>#DIV/0!</v>
      </c>
      <c r="BV72" s="74" t="e">
        <f t="array" ref="BV72">_xlfn.STDEV.P(IF($E$5:$E$30=$E71,BV$5:BV$30))</f>
        <v>#DIV/0!</v>
      </c>
      <c r="BW72" s="74" t="e">
        <f t="array" ref="BW72">_xlfn.STDEV.P(IF($E$5:$E$30=$E71,BW$5:BW$30))</f>
        <v>#DIV/0!</v>
      </c>
      <c r="BX72" s="74" t="e">
        <f t="array" ref="BX72">_xlfn.STDEV.P(IF($E$5:$E$30=$E71,BX$5:BX$30))</f>
        <v>#DIV/0!</v>
      </c>
      <c r="BY72" s="74" t="e">
        <f t="array" ref="BY72">_xlfn.STDEV.P(IF($E$5:$E$30=$E71,BY$5:BY$30))</f>
        <v>#DIV/0!</v>
      </c>
      <c r="BZ72" s="74" t="e">
        <f t="array" ref="BZ72">_xlfn.STDEV.P(IF($E$5:$E$30=$E71,BZ$5:BZ$30))</f>
        <v>#DIV/0!</v>
      </c>
      <c r="CA72" s="74" t="e">
        <f t="array" ref="CA72">_xlfn.STDEV.P(IF($E$5:$E$30=$E71,CA$5:CA$30))</f>
        <v>#DIV/0!</v>
      </c>
      <c r="CB72" s="74" t="e">
        <f t="array" ref="CB72">_xlfn.STDEV.P(IF($E$5:$E$30=$E71,CB$5:CB$30))</f>
        <v>#DIV/0!</v>
      </c>
      <c r="CC72" s="74" t="e">
        <f t="array" ref="CC72">_xlfn.STDEV.P(IF($E$5:$E$30=$E71,CC$5:CC$30))</f>
        <v>#DIV/0!</v>
      </c>
      <c r="CD72" s="74" t="e">
        <f t="array" ref="CD72">_xlfn.STDEV.P(IF($E$5:$E$30=$E71,CD$5:CD$30))</f>
        <v>#DIV/0!</v>
      </c>
      <c r="CE72" s="74" t="e">
        <f t="array" ref="CE72">_xlfn.STDEV.P(IF($E$5:$E$30=$E71,CE$5:CE$30))</f>
        <v>#DIV/0!</v>
      </c>
      <c r="CF72" s="74" t="e">
        <f t="array" ref="CF72">_xlfn.STDEV.P(IF($E$5:$E$30=$E71,CF$5:CF$30))</f>
        <v>#DIV/0!</v>
      </c>
      <c r="CG72" s="74" t="e">
        <f t="array" ref="CG72">_xlfn.STDEV.P(IF($E$5:$E$30=$E71,CG$5:CG$30))</f>
        <v>#DIV/0!</v>
      </c>
      <c r="CH72" s="74" t="e">
        <f t="array" ref="CH72">_xlfn.STDEV.P(IF($E$5:$E$30=$E71,CH$5:CH$30))</f>
        <v>#DIV/0!</v>
      </c>
      <c r="CI72" s="74" t="e">
        <f t="array" ref="CI72">_xlfn.STDEV.P(IF($E$5:$E$30=$E71,CI$5:CI$30))</f>
        <v>#DIV/0!</v>
      </c>
      <c r="CJ72" s="74" t="e">
        <f t="array" ref="CJ72">_xlfn.STDEV.P(IF($E$5:$E$30=$E71,CJ$5:CJ$30))</f>
        <v>#DIV/0!</v>
      </c>
      <c r="CK72" s="74" t="e">
        <f t="array" ref="CK72">_xlfn.STDEV.P(IF($E$5:$E$30=$E71,CK$5:CK$30))</f>
        <v>#DIV/0!</v>
      </c>
      <c r="CL72" s="74" t="e">
        <f t="array" ref="CL72">_xlfn.STDEV.P(IF($E$5:$E$30=$E71,CL$5:CL$30))</f>
        <v>#DIV/0!</v>
      </c>
      <c r="CM72" s="74" t="e">
        <f t="array" ref="CM72">_xlfn.STDEV.P(IF($E$5:$E$30=$E71,CM$5:CM$30))</f>
        <v>#DIV/0!</v>
      </c>
      <c r="CN72" s="74" t="e">
        <f t="array" ref="CN72">_xlfn.STDEV.P(IF($E$5:$E$30=$E71,CN$5:CN$30))</f>
        <v>#DIV/0!</v>
      </c>
      <c r="CO72" s="74" t="e">
        <f t="array" ref="CO72">_xlfn.STDEV.P(IF($E$5:$E$30=$E71,CO$5:CO$30))</f>
        <v>#DIV/0!</v>
      </c>
      <c r="CP72" s="74" t="e">
        <f t="array" ref="CP72">_xlfn.STDEV.P(IF($E$5:$E$30=$E71,CP$5:CP$30))</f>
        <v>#DIV/0!</v>
      </c>
      <c r="CQ72" s="74" t="e">
        <f t="array" ref="CQ72">_xlfn.STDEV.P(IF($E$5:$E$30=$E71,CQ$5:CQ$30))</f>
        <v>#DIV/0!</v>
      </c>
      <c r="CR72" s="74" t="e">
        <f t="array" ref="CR72">_xlfn.STDEV.P(IF($E$5:$E$30=$E71,CR$5:CR$30))</f>
        <v>#DIV/0!</v>
      </c>
      <c r="CS72" s="74" t="e">
        <f t="array" ref="CS72">_xlfn.STDEV.P(IF($E$5:$E$30=$E71,CS$5:CS$30))</f>
        <v>#DIV/0!</v>
      </c>
      <c r="CT72" s="74" t="e">
        <f t="array" ref="CT72">_xlfn.STDEV.P(IF($E$5:$E$30=$E71,CT$5:CT$30))</f>
        <v>#DIV/0!</v>
      </c>
      <c r="CU72" s="74" t="e">
        <f t="array" ref="CU72">_xlfn.STDEV.P(IF($E$5:$E$30=$E71,CU$5:CU$30))</f>
        <v>#DIV/0!</v>
      </c>
      <c r="CV72" s="74" t="e">
        <f t="array" ref="CV72">_xlfn.STDEV.P(IF($E$5:$E$30=$E71,CV$5:CV$30))</f>
        <v>#DIV/0!</v>
      </c>
      <c r="CW72" s="76"/>
    </row>
    <row r="73" spans="1:101" ht="15">
      <c r="A73" s="113"/>
      <c r="E73" s="118"/>
      <c r="I73" s="52"/>
    </row>
    <row r="74" spans="1:101" ht="14.25" customHeight="1">
      <c r="A74" s="113"/>
      <c r="E74" s="118" t="str">
        <f>'FIG6 Groups'!C19</f>
        <v>Group 14</v>
      </c>
      <c r="I74" s="118" t="str">
        <f>E74</f>
        <v>Group 14</v>
      </c>
      <c r="J74" s="227" t="e">
        <f>AVERAGEIF($E$5:$E$30,$E74,J$5:J$30)</f>
        <v>#DIV/0!</v>
      </c>
      <c r="K74" s="72" t="s">
        <v>9</v>
      </c>
      <c r="L74" s="78" t="e">
        <f>AVERAGEIF($E$5:$E$30,$E74,L$5:L$30)</f>
        <v>#DIV/0!</v>
      </c>
      <c r="M74" s="78" t="e">
        <f>AVERAGEIF($E$5:$E$30,$E74,M$5:M$30)</f>
        <v>#DIV/0!</v>
      </c>
      <c r="N74" s="78" t="e">
        <f>AVERAGEIF($E$5:$E$30,$E74,N$5:N$30)</f>
        <v>#DIV/0!</v>
      </c>
      <c r="O74" s="78" t="e">
        <f>AVERAGEIF($E$5:$E$30,$E74,O$5:O$30)</f>
        <v>#DIV/0!</v>
      </c>
      <c r="P74" s="78" t="e">
        <f>AVERAGEIF($E$5:$E$30,$E74,P$5:P$30)</f>
        <v>#DIV/0!</v>
      </c>
      <c r="Q74" s="78" t="e">
        <f>AVERAGEIF($E$5:$E$30,$E74,Q$5:Q$30)</f>
        <v>#DIV/0!</v>
      </c>
      <c r="R74" s="78" t="e">
        <f>AVERAGEIF($E$5:$E$30,$E74,R$5:R$30)</f>
        <v>#DIV/0!</v>
      </c>
      <c r="S74" s="78" t="e">
        <f>AVERAGEIF($E$5:$E$30,$E74,S$5:S$30)</f>
        <v>#DIV/0!</v>
      </c>
      <c r="T74" s="78" t="e">
        <f>AVERAGEIF($E$5:$E$30,$E74,T$5:T$30)</f>
        <v>#DIV/0!</v>
      </c>
      <c r="U74" s="78" t="e">
        <f>AVERAGEIF($E$5:$E$30,$E74,U$5:U$30)</f>
        <v>#DIV/0!</v>
      </c>
      <c r="V74" s="78" t="e">
        <f>AVERAGEIF($E$5:$E$30,$E74,V$5:V$30)</f>
        <v>#DIV/0!</v>
      </c>
      <c r="W74" s="78" t="e">
        <f>AVERAGEIF($E$5:$E$30,$E74,W$5:W$30)</f>
        <v>#DIV/0!</v>
      </c>
      <c r="X74" s="78" t="e">
        <f>AVERAGEIF($E$5:$E$30,$E74,X$5:X$30)</f>
        <v>#DIV/0!</v>
      </c>
      <c r="Y74" s="78" t="e">
        <f>AVERAGEIF($E$5:$E$30,$E74,Y$5:Y$30)</f>
        <v>#DIV/0!</v>
      </c>
      <c r="Z74" s="78" t="e">
        <f>AVERAGEIF($E$5:$E$30,$E74,Z$5:Z$30)</f>
        <v>#DIV/0!</v>
      </c>
      <c r="AA74" s="78" t="e">
        <f>AVERAGEIF($E$5:$E$30,$E74,AA$5:AA$30)</f>
        <v>#DIV/0!</v>
      </c>
      <c r="AB74" s="78" t="e">
        <f>AVERAGEIF($E$5:$E$30,$E74,AB$5:AB$30)</f>
        <v>#DIV/0!</v>
      </c>
      <c r="AC74" s="78" t="e">
        <f>AVERAGEIF($E$5:$E$30,$E74,AC$5:AC$30)</f>
        <v>#DIV/0!</v>
      </c>
      <c r="AD74" s="78" t="e">
        <f>AVERAGEIF($E$5:$E$30,$E74,AD$5:AD$30)</f>
        <v>#DIV/0!</v>
      </c>
      <c r="AE74" s="78" t="e">
        <f>AVERAGEIF($E$5:$E$30,$E74,AE$5:AE$30)</f>
        <v>#DIV/0!</v>
      </c>
      <c r="AF74" s="78" t="e">
        <f>AVERAGEIF($E$5:$E$30,$E74,AF$5:AF$30)</f>
        <v>#DIV/0!</v>
      </c>
      <c r="AG74" s="78" t="e">
        <f>AVERAGEIF($E$5:$E$30,$E74,AG$5:AG$30)</f>
        <v>#DIV/0!</v>
      </c>
      <c r="AH74" s="78" t="e">
        <f>AVERAGEIF($E$5:$E$30,$E74,AH$5:AH$30)</f>
        <v>#DIV/0!</v>
      </c>
      <c r="AI74" s="78" t="e">
        <f>AVERAGEIF($E$5:$E$30,$E74,AI$5:AI$30)</f>
        <v>#DIV/0!</v>
      </c>
      <c r="AJ74" s="78" t="e">
        <f>AVERAGEIF($E$5:$E$30,$E74,AJ$5:AJ$30)</f>
        <v>#DIV/0!</v>
      </c>
      <c r="AK74" s="78" t="e">
        <f>AVERAGEIF($E$5:$E$30,$E74,AK$5:AK$30)</f>
        <v>#DIV/0!</v>
      </c>
      <c r="AL74" s="78" t="e">
        <f>AVERAGEIF($E$5:$E$30,$E74,AL$5:AL$30)</f>
        <v>#DIV/0!</v>
      </c>
      <c r="AM74" s="78" t="e">
        <f>AVERAGEIF($E$5:$E$30,$E74,AM$5:AM$30)</f>
        <v>#DIV/0!</v>
      </c>
      <c r="AN74" s="78" t="e">
        <f>AVERAGEIF($E$5:$E$30,$E74,AN$5:AN$30)</f>
        <v>#DIV/0!</v>
      </c>
      <c r="AO74" s="78" t="e">
        <f>AVERAGEIF($E$5:$E$30,$E74,AO$5:AO$30)</f>
        <v>#DIV/0!</v>
      </c>
      <c r="AP74" s="78" t="e">
        <f>AVERAGEIF($E$5:$E$30,$E74,AP$5:AP$30)</f>
        <v>#DIV/0!</v>
      </c>
      <c r="AQ74" s="78" t="e">
        <f>AVERAGEIF($E$5:$E$30,$E74,AQ$5:AQ$30)</f>
        <v>#DIV/0!</v>
      </c>
      <c r="AR74" s="78" t="e">
        <f>AVERAGEIF($E$5:$E$30,$E74,AR$5:AR$30)</f>
        <v>#DIV/0!</v>
      </c>
      <c r="AS74" s="78" t="e">
        <f>AVERAGEIF($E$5:$E$30,$E74,AS$5:AS$30)</f>
        <v>#DIV/0!</v>
      </c>
      <c r="AT74" s="78" t="e">
        <f>AVERAGEIF($E$5:$E$30,$E74,AT$5:AT$30)</f>
        <v>#DIV/0!</v>
      </c>
      <c r="AU74" s="78" t="e">
        <f>AVERAGEIF($E$5:$E$30,$E74,AU$5:AU$30)</f>
        <v>#DIV/0!</v>
      </c>
      <c r="AV74" s="78" t="e">
        <f>AVERAGEIF($E$5:$E$30,$E74,AV$5:AV$30)</f>
        <v>#DIV/0!</v>
      </c>
      <c r="AW74" s="78" t="e">
        <f>AVERAGEIF($E$5:$E$30,$E74,AW$5:AW$30)</f>
        <v>#DIV/0!</v>
      </c>
      <c r="AX74" s="78" t="e">
        <f>AVERAGEIF($E$5:$E$30,$E74,AX$5:AX$30)</f>
        <v>#DIV/0!</v>
      </c>
      <c r="AY74" s="78" t="e">
        <f>AVERAGEIF($E$5:$E$30,$E74,AY$5:AY$30)</f>
        <v>#DIV/0!</v>
      </c>
      <c r="AZ74" s="78" t="e">
        <f>AVERAGEIF($E$5:$E$30,$E74,AZ$5:AZ$30)</f>
        <v>#DIV/0!</v>
      </c>
      <c r="BA74" s="78" t="e">
        <f>AVERAGEIF($E$5:$E$30,$E74,BA$5:BA$30)</f>
        <v>#DIV/0!</v>
      </c>
      <c r="BB74" s="78" t="e">
        <f>AVERAGEIF($E$5:$E$30,$E74,BB$5:BB$30)</f>
        <v>#DIV/0!</v>
      </c>
      <c r="BC74" s="78" t="e">
        <f>AVERAGEIF($E$5:$E$30,$E74,BC$5:BC$30)</f>
        <v>#DIV/0!</v>
      </c>
      <c r="BD74" s="103" t="s">
        <v>9</v>
      </c>
      <c r="BE74" s="73" t="e">
        <f>AVERAGEIF($E$5:$E$30,$E74,BE$5:BE$30)</f>
        <v>#DIV/0!</v>
      </c>
      <c r="BF74" s="73" t="e">
        <f>AVERAGEIF($E$5:$E$30,$E74,BF$5:BF$30)</f>
        <v>#DIV/0!</v>
      </c>
      <c r="BG74" s="73" t="e">
        <f>AVERAGEIF($E$5:$E$30,$E74,BG$5:BG$30)</f>
        <v>#DIV/0!</v>
      </c>
      <c r="BH74" s="73" t="e">
        <f>AVERAGEIF($E$5:$E$30,$E74,BH$5:BH$30)</f>
        <v>#DIV/0!</v>
      </c>
      <c r="BI74" s="73" t="e">
        <f>AVERAGEIF($E$5:$E$30,$E74,BI$5:BI$30)</f>
        <v>#DIV/0!</v>
      </c>
      <c r="BJ74" s="73" t="e">
        <f>AVERAGEIF($E$5:$E$30,$E74,BJ$5:BJ$30)</f>
        <v>#DIV/0!</v>
      </c>
      <c r="BK74" s="73" t="e">
        <f>AVERAGEIF($E$5:$E$30,$E74,BK$5:BK$30)</f>
        <v>#DIV/0!</v>
      </c>
      <c r="BL74" s="73" t="e">
        <f>AVERAGEIF($E$5:$E$30,$E74,BL$5:BL$30)</f>
        <v>#DIV/0!</v>
      </c>
      <c r="BM74" s="73" t="e">
        <f>AVERAGEIF($E$5:$E$30,$E74,BM$5:BM$30)</f>
        <v>#DIV/0!</v>
      </c>
      <c r="BN74" s="73" t="e">
        <f>AVERAGEIF($E$5:$E$30,$E74,BN$5:BN$30)</f>
        <v>#DIV/0!</v>
      </c>
      <c r="BO74" s="73" t="e">
        <f>AVERAGEIF($E$5:$E$30,$E74,BO$5:BO$30)</f>
        <v>#DIV/0!</v>
      </c>
      <c r="BP74" s="73" t="e">
        <f>AVERAGEIF($E$5:$E$30,$E74,BP$5:BP$30)</f>
        <v>#DIV/0!</v>
      </c>
      <c r="BQ74" s="73" t="e">
        <f>AVERAGEIF($E$5:$E$30,$E74,BQ$5:BQ$30)</f>
        <v>#DIV/0!</v>
      </c>
      <c r="BR74" s="73" t="e">
        <f>AVERAGEIF($E$5:$E$30,$E74,BR$5:BR$30)</f>
        <v>#DIV/0!</v>
      </c>
      <c r="BS74" s="73" t="e">
        <f>AVERAGEIF($E$5:$E$30,$E74,BS$5:BS$30)</f>
        <v>#DIV/0!</v>
      </c>
      <c r="BT74" s="73" t="e">
        <f>AVERAGEIF($E$5:$E$30,$E74,BT$5:BT$30)</f>
        <v>#DIV/0!</v>
      </c>
      <c r="BU74" s="73" t="e">
        <f>AVERAGEIF($E$5:$E$30,$E74,BU$5:BU$30)</f>
        <v>#DIV/0!</v>
      </c>
      <c r="BV74" s="73" t="e">
        <f>AVERAGEIF($E$5:$E$30,$E74,BV$5:BV$30)</f>
        <v>#DIV/0!</v>
      </c>
      <c r="BW74" s="73" t="e">
        <f>AVERAGEIF($E$5:$E$30,$E74,BW$5:BW$30)</f>
        <v>#DIV/0!</v>
      </c>
      <c r="BX74" s="73" t="e">
        <f>AVERAGEIF($E$5:$E$30,$E74,BX$5:BX$30)</f>
        <v>#DIV/0!</v>
      </c>
      <c r="BY74" s="73" t="e">
        <f>AVERAGEIF($E$5:$E$30,$E74,BY$5:BY$30)</f>
        <v>#DIV/0!</v>
      </c>
      <c r="BZ74" s="73" t="e">
        <f>AVERAGEIF($E$5:$E$30,$E74,BZ$5:BZ$30)</f>
        <v>#DIV/0!</v>
      </c>
      <c r="CA74" s="73" t="e">
        <f>AVERAGEIF($E$5:$E$30,$E74,CA$5:CA$30)</f>
        <v>#DIV/0!</v>
      </c>
      <c r="CB74" s="73" t="e">
        <f>AVERAGEIF($E$5:$E$30,$E74,CB$5:CB$30)</f>
        <v>#DIV/0!</v>
      </c>
      <c r="CC74" s="73" t="e">
        <f>AVERAGEIF($E$5:$E$30,$E74,CC$5:CC$30)</f>
        <v>#DIV/0!</v>
      </c>
      <c r="CD74" s="73" t="e">
        <f>AVERAGEIF($E$5:$E$30,$E74,CD$5:CD$30)</f>
        <v>#DIV/0!</v>
      </c>
      <c r="CE74" s="73" t="e">
        <f>AVERAGEIF($E$5:$E$30,$E74,CE$5:CE$30)</f>
        <v>#DIV/0!</v>
      </c>
      <c r="CF74" s="73" t="e">
        <f>AVERAGEIF($E$5:$E$30,$E74,CF$5:CF$30)</f>
        <v>#DIV/0!</v>
      </c>
      <c r="CG74" s="73" t="e">
        <f>AVERAGEIF($E$5:$E$30,$E74,CG$5:CG$30)</f>
        <v>#DIV/0!</v>
      </c>
      <c r="CH74" s="73" t="e">
        <f>AVERAGEIF($E$5:$E$30,$E74,CH$5:CH$30)</f>
        <v>#DIV/0!</v>
      </c>
      <c r="CI74" s="73" t="e">
        <f>AVERAGEIF($E$5:$E$30,$E74,CI$5:CI$30)</f>
        <v>#DIV/0!</v>
      </c>
      <c r="CJ74" s="73" t="e">
        <f>AVERAGEIF($E$5:$E$30,$E74,CJ$5:CJ$30)</f>
        <v>#DIV/0!</v>
      </c>
      <c r="CK74" s="73" t="e">
        <f>AVERAGEIF($E$5:$E$30,$E74,CK$5:CK$30)</f>
        <v>#DIV/0!</v>
      </c>
      <c r="CL74" s="73" t="e">
        <f>AVERAGEIF($E$5:$E$30,$E74,CL$5:CL$30)</f>
        <v>#DIV/0!</v>
      </c>
      <c r="CM74" s="73" t="e">
        <f>AVERAGEIF($E$5:$E$30,$E74,CM$5:CM$30)</f>
        <v>#DIV/0!</v>
      </c>
      <c r="CN74" s="73" t="e">
        <f>AVERAGEIF($E$5:$E$30,$E74,CN$5:CN$30)</f>
        <v>#DIV/0!</v>
      </c>
      <c r="CO74" s="73" t="e">
        <f>AVERAGEIF($E$5:$E$30,$E74,CO$5:CO$30)</f>
        <v>#DIV/0!</v>
      </c>
      <c r="CP74" s="73" t="e">
        <f>AVERAGEIF($E$5:$E$30,$E74,CP$5:CP$30)</f>
        <v>#DIV/0!</v>
      </c>
      <c r="CQ74" s="73" t="e">
        <f>AVERAGEIF($E$5:$E$30,$E74,CQ$5:CQ$30)</f>
        <v>#DIV/0!</v>
      </c>
      <c r="CR74" s="73" t="e">
        <f>AVERAGEIF($E$5:$E$30,$E74,CR$5:CR$30)</f>
        <v>#DIV/0!</v>
      </c>
      <c r="CS74" s="73" t="e">
        <f>AVERAGEIF($E$5:$E$30,$E74,CS$5:CS$30)</f>
        <v>#DIV/0!</v>
      </c>
      <c r="CT74" s="73" t="e">
        <f>AVERAGEIF($E$5:$E$30,$E74,CT$5:CT$30)</f>
        <v>#DIV/0!</v>
      </c>
      <c r="CU74" s="73" t="e">
        <f>AVERAGEIF($E$5:$E$30,$E74,CU$5:CU$30)</f>
        <v>#DIV/0!</v>
      </c>
      <c r="CV74" s="73" t="e">
        <f>AVERAGEIF($E$5:$E$30,$E74,CV$5:CV$30)</f>
        <v>#DIV/0!</v>
      </c>
      <c r="CW74" s="76"/>
    </row>
    <row r="75" spans="1:101" ht="14.25" customHeight="1">
      <c r="A75" s="113"/>
      <c r="E75" s="93"/>
      <c r="I75" s="93"/>
      <c r="J75" s="227" t="e">
        <f t="array" ref="J75">_xlfn.STDEV.P(IF($E$5:$E$30=$E74,J$5:J$30))</f>
        <v>#DIV/0!</v>
      </c>
      <c r="K75" s="72" t="s">
        <v>11</v>
      </c>
      <c r="L75" s="81" t="e">
        <f t="array" ref="L75">_xlfn.STDEV.P(IF($E$5:$E$30=$E74,L$5:L$30))</f>
        <v>#DIV/0!</v>
      </c>
      <c r="M75" s="81" t="e">
        <f t="array" ref="M75">_xlfn.STDEV.P(IF($E$5:$E$30=$E74,M$5:M$30))</f>
        <v>#DIV/0!</v>
      </c>
      <c r="N75" s="81" t="e">
        <f t="array" ref="N75">_xlfn.STDEV.P(IF($E$5:$E$30=$E74,N$5:N$30))</f>
        <v>#DIV/0!</v>
      </c>
      <c r="O75" s="81" t="e">
        <f t="array" ref="O75">_xlfn.STDEV.P(IF($E$5:$E$30=$E74,O$5:O$30))</f>
        <v>#DIV/0!</v>
      </c>
      <c r="P75" s="81" t="e">
        <f t="array" ref="P75">_xlfn.STDEV.P(IF($E$5:$E$30=$E74,P$5:P$30))</f>
        <v>#DIV/0!</v>
      </c>
      <c r="Q75" s="81" t="e">
        <f t="array" ref="Q75">_xlfn.STDEV.P(IF($E$5:$E$30=$E74,Q$5:Q$30))</f>
        <v>#DIV/0!</v>
      </c>
      <c r="R75" s="81" t="e">
        <f t="array" ref="R75">_xlfn.STDEV.P(IF($E$5:$E$30=$E74,R$5:R$30))</f>
        <v>#DIV/0!</v>
      </c>
      <c r="S75" s="81" t="e">
        <f t="array" ref="S75">_xlfn.STDEV.P(IF($E$5:$E$30=$E74,S$5:S$30))</f>
        <v>#DIV/0!</v>
      </c>
      <c r="T75" s="81" t="e">
        <f t="array" ref="T75">_xlfn.STDEV.P(IF($E$5:$E$30=$E74,T$5:T$30))</f>
        <v>#DIV/0!</v>
      </c>
      <c r="U75" s="81" t="e">
        <f t="array" ref="U75">_xlfn.STDEV.P(IF($E$5:$E$30=$E74,U$5:U$30))</f>
        <v>#DIV/0!</v>
      </c>
      <c r="V75" s="81" t="e">
        <f t="array" ref="V75">_xlfn.STDEV.P(IF($E$5:$E$30=$E74,V$5:V$30))</f>
        <v>#DIV/0!</v>
      </c>
      <c r="W75" s="81" t="e">
        <f t="array" ref="W75">_xlfn.STDEV.P(IF($E$5:$E$30=$E74,W$5:W$30))</f>
        <v>#DIV/0!</v>
      </c>
      <c r="X75" s="81" t="e">
        <f t="array" ref="X75">_xlfn.STDEV.P(IF($E$5:$E$30=$E74,X$5:X$30))</f>
        <v>#DIV/0!</v>
      </c>
      <c r="Y75" s="81" t="e">
        <f t="array" ref="Y75">_xlfn.STDEV.P(IF($E$5:$E$30=$E74,Y$5:Y$30))</f>
        <v>#DIV/0!</v>
      </c>
      <c r="Z75" s="81" t="e">
        <f t="array" ref="Z75">_xlfn.STDEV.P(IF($E$5:$E$30=$E74,Z$5:Z$30))</f>
        <v>#DIV/0!</v>
      </c>
      <c r="AA75" s="81" t="e">
        <f t="array" ref="AA75">_xlfn.STDEV.P(IF($E$5:$E$30=$E74,AA$5:AA$30))</f>
        <v>#DIV/0!</v>
      </c>
      <c r="AB75" s="81" t="e">
        <f t="array" ref="AB75">_xlfn.STDEV.P(IF($E$5:$E$30=$E74,AB$5:AB$30))</f>
        <v>#DIV/0!</v>
      </c>
      <c r="AC75" s="81" t="e">
        <f t="array" ref="AC75">_xlfn.STDEV.P(IF($E$5:$E$30=$E74,AC$5:AC$30))</f>
        <v>#DIV/0!</v>
      </c>
      <c r="AD75" s="81" t="e">
        <f t="array" ref="AD75">_xlfn.STDEV.P(IF($E$5:$E$30=$E74,AD$5:AD$30))</f>
        <v>#DIV/0!</v>
      </c>
      <c r="AE75" s="81" t="e">
        <f t="array" ref="AE75">_xlfn.STDEV.P(IF($E$5:$E$30=$E74,AE$5:AE$30))</f>
        <v>#DIV/0!</v>
      </c>
      <c r="AF75" s="81" t="e">
        <f t="array" ref="AF75">_xlfn.STDEV.P(IF($E$5:$E$30=$E74,AF$5:AF$30))</f>
        <v>#DIV/0!</v>
      </c>
      <c r="AG75" s="81" t="e">
        <f t="array" ref="AG75">_xlfn.STDEV.P(IF($E$5:$E$30=$E74,AG$5:AG$30))</f>
        <v>#DIV/0!</v>
      </c>
      <c r="AH75" s="81" t="e">
        <f t="array" ref="AH75">_xlfn.STDEV.P(IF($E$5:$E$30=$E74,AH$5:AH$30))</f>
        <v>#DIV/0!</v>
      </c>
      <c r="AI75" s="81" t="e">
        <f t="array" ref="AI75">_xlfn.STDEV.P(IF($E$5:$E$30=$E74,AI$5:AI$30))</f>
        <v>#DIV/0!</v>
      </c>
      <c r="AJ75" s="81" t="e">
        <f t="array" ref="AJ75">_xlfn.STDEV.P(IF($E$5:$E$30=$E74,AJ$5:AJ$30))</f>
        <v>#DIV/0!</v>
      </c>
      <c r="AK75" s="81" t="e">
        <f t="array" ref="AK75">_xlfn.STDEV.P(IF($E$5:$E$30=$E74,AK$5:AK$30))</f>
        <v>#DIV/0!</v>
      </c>
      <c r="AL75" s="81" t="e">
        <f t="array" ref="AL75">_xlfn.STDEV.P(IF($E$5:$E$30=$E74,AL$5:AL$30))</f>
        <v>#DIV/0!</v>
      </c>
      <c r="AM75" s="81" t="e">
        <f t="array" ref="AM75">_xlfn.STDEV.P(IF($E$5:$E$30=$E74,AM$5:AM$30))</f>
        <v>#DIV/0!</v>
      </c>
      <c r="AN75" s="81" t="e">
        <f t="array" ref="AN75">_xlfn.STDEV.P(IF($E$5:$E$30=$E74,AN$5:AN$30))</f>
        <v>#DIV/0!</v>
      </c>
      <c r="AO75" s="81" t="e">
        <f t="array" ref="AO75">_xlfn.STDEV.P(IF($E$5:$E$30=$E74,AO$5:AO$30))</f>
        <v>#DIV/0!</v>
      </c>
      <c r="AP75" s="81" t="e">
        <f t="array" ref="AP75">_xlfn.STDEV.P(IF($E$5:$E$30=$E74,AP$5:AP$30))</f>
        <v>#DIV/0!</v>
      </c>
      <c r="AQ75" s="81" t="e">
        <f t="array" ref="AQ75">_xlfn.STDEV.P(IF($E$5:$E$30=$E74,AQ$5:AQ$30))</f>
        <v>#DIV/0!</v>
      </c>
      <c r="AR75" s="81" t="e">
        <f t="array" ref="AR75">_xlfn.STDEV.P(IF($E$5:$E$30=$E74,AR$5:AR$30))</f>
        <v>#DIV/0!</v>
      </c>
      <c r="AS75" s="81" t="e">
        <f t="array" ref="AS75">_xlfn.STDEV.P(IF($E$5:$E$30=$E74,AS$5:AS$30))</f>
        <v>#DIV/0!</v>
      </c>
      <c r="AT75" s="81" t="e">
        <f t="array" ref="AT75">_xlfn.STDEV.P(IF($E$5:$E$30=$E74,AT$5:AT$30))</f>
        <v>#DIV/0!</v>
      </c>
      <c r="AU75" s="81" t="e">
        <f t="array" ref="AU75">_xlfn.STDEV.P(IF($E$5:$E$30=$E74,AU$5:AU$30))</f>
        <v>#DIV/0!</v>
      </c>
      <c r="AV75" s="81" t="e">
        <f t="array" ref="AV75">_xlfn.STDEV.P(IF($E$5:$E$30=$E74,AV$5:AV$30))</f>
        <v>#DIV/0!</v>
      </c>
      <c r="AW75" s="81" t="e">
        <f t="array" ref="AW75">_xlfn.STDEV.P(IF($E$5:$E$30=$E74,AW$5:AW$30))</f>
        <v>#DIV/0!</v>
      </c>
      <c r="AX75" s="81" t="e">
        <f t="array" ref="AX75">_xlfn.STDEV.P(IF($E$5:$E$30=$E74,AX$5:AX$30))</f>
        <v>#DIV/0!</v>
      </c>
      <c r="AY75" s="81" t="e">
        <f t="array" ref="AY75">_xlfn.STDEV.P(IF($E$5:$E$30=$E74,AY$5:AY$30))</f>
        <v>#DIV/0!</v>
      </c>
      <c r="AZ75" s="81" t="e">
        <f t="array" ref="AZ75">_xlfn.STDEV.P(IF($E$5:$E$30=$E74,AZ$5:AZ$30))</f>
        <v>#DIV/0!</v>
      </c>
      <c r="BA75" s="81" t="e">
        <f t="array" ref="BA75">_xlfn.STDEV.P(IF($E$5:$E$30=$E74,BA$5:BA$30))</f>
        <v>#DIV/0!</v>
      </c>
      <c r="BB75" s="81" t="e">
        <f t="array" ref="BB75">_xlfn.STDEV.P(IF($E$5:$E$30=$E74,BB$5:BB$30))</f>
        <v>#DIV/0!</v>
      </c>
      <c r="BC75" s="81" t="e">
        <f t="array" ref="BC75">_xlfn.STDEV.P(IF($E$5:$E$30=$E74,BC$5:BC$30))</f>
        <v>#DIV/0!</v>
      </c>
      <c r="BD75" s="104" t="s">
        <v>11</v>
      </c>
      <c r="BE75" s="74" t="e">
        <f t="array" ref="BE75">_xlfn.STDEV.P(IF($E$5:$E$30=$E74,BE$5:BE$30))</f>
        <v>#DIV/0!</v>
      </c>
      <c r="BF75" s="74" t="e">
        <f t="array" ref="BF75">_xlfn.STDEV.P(IF($E$5:$E$30=$E74,BF$5:BF$30))</f>
        <v>#DIV/0!</v>
      </c>
      <c r="BG75" s="74" t="e">
        <f t="array" ref="BG75">_xlfn.STDEV.P(IF($E$5:$E$30=$E74,BG$5:BG$30))</f>
        <v>#DIV/0!</v>
      </c>
      <c r="BH75" s="74" t="e">
        <f t="array" ref="BH75">_xlfn.STDEV.P(IF($E$5:$E$30=$E74,BH$5:BH$30))</f>
        <v>#DIV/0!</v>
      </c>
      <c r="BI75" s="74" t="e">
        <f t="array" ref="BI75">_xlfn.STDEV.P(IF($E$5:$E$30=$E74,BI$5:BI$30))</f>
        <v>#DIV/0!</v>
      </c>
      <c r="BJ75" s="74" t="e">
        <f t="array" ref="BJ75">_xlfn.STDEV.P(IF($E$5:$E$30=$E74,BJ$5:BJ$30))</f>
        <v>#DIV/0!</v>
      </c>
      <c r="BK75" s="74" t="e">
        <f t="array" ref="BK75">_xlfn.STDEV.P(IF($E$5:$E$30=$E74,BK$5:BK$30))</f>
        <v>#DIV/0!</v>
      </c>
      <c r="BL75" s="74" t="e">
        <f t="array" ref="BL75">_xlfn.STDEV.P(IF($E$5:$E$30=$E74,BL$5:BL$30))</f>
        <v>#DIV/0!</v>
      </c>
      <c r="BM75" s="74" t="e">
        <f t="array" ref="BM75">_xlfn.STDEV.P(IF($E$5:$E$30=$E74,BM$5:BM$30))</f>
        <v>#DIV/0!</v>
      </c>
      <c r="BN75" s="74" t="e">
        <f t="array" ref="BN75">_xlfn.STDEV.P(IF($E$5:$E$30=$E74,BN$5:BN$30))</f>
        <v>#DIV/0!</v>
      </c>
      <c r="BO75" s="74" t="e">
        <f t="array" ref="BO75">_xlfn.STDEV.P(IF($E$5:$E$30=$E74,BO$5:BO$30))</f>
        <v>#DIV/0!</v>
      </c>
      <c r="BP75" s="74" t="e">
        <f t="array" ref="BP75">_xlfn.STDEV.P(IF($E$5:$E$30=$E74,BP$5:BP$30))</f>
        <v>#DIV/0!</v>
      </c>
      <c r="BQ75" s="74" t="e">
        <f t="array" ref="BQ75">_xlfn.STDEV.P(IF($E$5:$E$30=$E74,BQ$5:BQ$30))</f>
        <v>#DIV/0!</v>
      </c>
      <c r="BR75" s="74" t="e">
        <f t="array" ref="BR75">_xlfn.STDEV.P(IF($E$5:$E$30=$E74,BR$5:BR$30))</f>
        <v>#DIV/0!</v>
      </c>
      <c r="BS75" s="74" t="e">
        <f t="array" ref="BS75">_xlfn.STDEV.P(IF($E$5:$E$30=$E74,BS$5:BS$30))</f>
        <v>#DIV/0!</v>
      </c>
      <c r="BT75" s="74" t="e">
        <f t="array" ref="BT75">_xlfn.STDEV.P(IF($E$5:$E$30=$E74,BT$5:BT$30))</f>
        <v>#DIV/0!</v>
      </c>
      <c r="BU75" s="74" t="e">
        <f t="array" ref="BU75">_xlfn.STDEV.P(IF($E$5:$E$30=$E74,BU$5:BU$30))</f>
        <v>#DIV/0!</v>
      </c>
      <c r="BV75" s="74" t="e">
        <f t="array" ref="BV75">_xlfn.STDEV.P(IF($E$5:$E$30=$E74,BV$5:BV$30))</f>
        <v>#DIV/0!</v>
      </c>
      <c r="BW75" s="74" t="e">
        <f t="array" ref="BW75">_xlfn.STDEV.P(IF($E$5:$E$30=$E74,BW$5:BW$30))</f>
        <v>#DIV/0!</v>
      </c>
      <c r="BX75" s="74" t="e">
        <f t="array" ref="BX75">_xlfn.STDEV.P(IF($E$5:$E$30=$E74,BX$5:BX$30))</f>
        <v>#DIV/0!</v>
      </c>
      <c r="BY75" s="74" t="e">
        <f t="array" ref="BY75">_xlfn.STDEV.P(IF($E$5:$E$30=$E74,BY$5:BY$30))</f>
        <v>#DIV/0!</v>
      </c>
      <c r="BZ75" s="74" t="e">
        <f t="array" ref="BZ75">_xlfn.STDEV.P(IF($E$5:$E$30=$E74,BZ$5:BZ$30))</f>
        <v>#DIV/0!</v>
      </c>
      <c r="CA75" s="74" t="e">
        <f t="array" ref="CA75">_xlfn.STDEV.P(IF($E$5:$E$30=$E74,CA$5:CA$30))</f>
        <v>#DIV/0!</v>
      </c>
      <c r="CB75" s="74" t="e">
        <f t="array" ref="CB75">_xlfn.STDEV.P(IF($E$5:$E$30=$E74,CB$5:CB$30))</f>
        <v>#DIV/0!</v>
      </c>
      <c r="CC75" s="74" t="e">
        <f t="array" ref="CC75">_xlfn.STDEV.P(IF($E$5:$E$30=$E74,CC$5:CC$30))</f>
        <v>#DIV/0!</v>
      </c>
      <c r="CD75" s="74" t="e">
        <f t="array" ref="CD75">_xlfn.STDEV.P(IF($E$5:$E$30=$E74,CD$5:CD$30))</f>
        <v>#DIV/0!</v>
      </c>
      <c r="CE75" s="74" t="e">
        <f t="array" ref="CE75">_xlfn.STDEV.P(IF($E$5:$E$30=$E74,CE$5:CE$30))</f>
        <v>#DIV/0!</v>
      </c>
      <c r="CF75" s="74" t="e">
        <f t="array" ref="CF75">_xlfn.STDEV.P(IF($E$5:$E$30=$E74,CF$5:CF$30))</f>
        <v>#DIV/0!</v>
      </c>
      <c r="CG75" s="74" t="e">
        <f t="array" ref="CG75">_xlfn.STDEV.P(IF($E$5:$E$30=$E74,CG$5:CG$30))</f>
        <v>#DIV/0!</v>
      </c>
      <c r="CH75" s="74" t="e">
        <f t="array" ref="CH75">_xlfn.STDEV.P(IF($E$5:$E$30=$E74,CH$5:CH$30))</f>
        <v>#DIV/0!</v>
      </c>
      <c r="CI75" s="74" t="e">
        <f t="array" ref="CI75">_xlfn.STDEV.P(IF($E$5:$E$30=$E74,CI$5:CI$30))</f>
        <v>#DIV/0!</v>
      </c>
      <c r="CJ75" s="74" t="e">
        <f t="array" ref="CJ75">_xlfn.STDEV.P(IF($E$5:$E$30=$E74,CJ$5:CJ$30))</f>
        <v>#DIV/0!</v>
      </c>
      <c r="CK75" s="74" t="e">
        <f t="array" ref="CK75">_xlfn.STDEV.P(IF($E$5:$E$30=$E74,CK$5:CK$30))</f>
        <v>#DIV/0!</v>
      </c>
      <c r="CL75" s="74" t="e">
        <f t="array" ref="CL75">_xlfn.STDEV.P(IF($E$5:$E$30=$E74,CL$5:CL$30))</f>
        <v>#DIV/0!</v>
      </c>
      <c r="CM75" s="74" t="e">
        <f t="array" ref="CM75">_xlfn.STDEV.P(IF($E$5:$E$30=$E74,CM$5:CM$30))</f>
        <v>#DIV/0!</v>
      </c>
      <c r="CN75" s="74" t="e">
        <f t="array" ref="CN75">_xlfn.STDEV.P(IF($E$5:$E$30=$E74,CN$5:CN$30))</f>
        <v>#DIV/0!</v>
      </c>
      <c r="CO75" s="74" t="e">
        <f t="array" ref="CO75">_xlfn.STDEV.P(IF($E$5:$E$30=$E74,CO$5:CO$30))</f>
        <v>#DIV/0!</v>
      </c>
      <c r="CP75" s="74" t="e">
        <f t="array" ref="CP75">_xlfn.STDEV.P(IF($E$5:$E$30=$E74,CP$5:CP$30))</f>
        <v>#DIV/0!</v>
      </c>
      <c r="CQ75" s="74" t="e">
        <f t="array" ref="CQ75">_xlfn.STDEV.P(IF($E$5:$E$30=$E74,CQ$5:CQ$30))</f>
        <v>#DIV/0!</v>
      </c>
      <c r="CR75" s="74" t="e">
        <f t="array" ref="CR75">_xlfn.STDEV.P(IF($E$5:$E$30=$E74,CR$5:CR$30))</f>
        <v>#DIV/0!</v>
      </c>
      <c r="CS75" s="74" t="e">
        <f t="array" ref="CS75">_xlfn.STDEV.P(IF($E$5:$E$30=$E74,CS$5:CS$30))</f>
        <v>#DIV/0!</v>
      </c>
      <c r="CT75" s="74" t="e">
        <f t="array" ref="CT75">_xlfn.STDEV.P(IF($E$5:$E$30=$E74,CT$5:CT$30))</f>
        <v>#DIV/0!</v>
      </c>
      <c r="CU75" s="74" t="e">
        <f t="array" ref="CU75">_xlfn.STDEV.P(IF($E$5:$E$30=$E74,CU$5:CU$30))</f>
        <v>#DIV/0!</v>
      </c>
      <c r="CV75" s="74" t="e">
        <f t="array" ref="CV75">_xlfn.STDEV.P(IF($E$5:$E$30=$E74,CV$5:CV$30))</f>
        <v>#DIV/0!</v>
      </c>
      <c r="CW75" s="76"/>
    </row>
    <row r="76" spans="1:101" ht="15">
      <c r="A76" s="113"/>
      <c r="E76" s="118"/>
      <c r="I76" s="52"/>
    </row>
    <row r="77" spans="1:101" ht="14.25" customHeight="1">
      <c r="A77" s="113"/>
      <c r="E77" s="118" t="str">
        <f>'FIG6 Groups'!C20</f>
        <v>Group 15</v>
      </c>
      <c r="I77" s="118" t="str">
        <f>E77</f>
        <v>Group 15</v>
      </c>
      <c r="J77" s="227" t="e">
        <f>AVERAGEIF($E$5:$E$30,$E77,J$5:J$30)</f>
        <v>#DIV/0!</v>
      </c>
      <c r="K77" s="72" t="s">
        <v>9</v>
      </c>
      <c r="L77" s="78" t="e">
        <f>AVERAGEIF($E$5:$E$30,$E77,L$5:L$30)</f>
        <v>#DIV/0!</v>
      </c>
      <c r="M77" s="78" t="e">
        <f>AVERAGEIF($E$5:$E$30,$E77,M$5:M$30)</f>
        <v>#DIV/0!</v>
      </c>
      <c r="N77" s="78" t="e">
        <f>AVERAGEIF($E$5:$E$30,$E77,N$5:N$30)</f>
        <v>#DIV/0!</v>
      </c>
      <c r="O77" s="78" t="e">
        <f>AVERAGEIF($E$5:$E$30,$E77,O$5:O$30)</f>
        <v>#DIV/0!</v>
      </c>
      <c r="P77" s="78" t="e">
        <f>AVERAGEIF($E$5:$E$30,$E77,P$5:P$30)</f>
        <v>#DIV/0!</v>
      </c>
      <c r="Q77" s="78" t="e">
        <f>AVERAGEIF($E$5:$E$30,$E77,Q$5:Q$30)</f>
        <v>#DIV/0!</v>
      </c>
      <c r="R77" s="78" t="e">
        <f>AVERAGEIF($E$5:$E$30,$E77,R$5:R$30)</f>
        <v>#DIV/0!</v>
      </c>
      <c r="S77" s="78" t="e">
        <f>AVERAGEIF($E$5:$E$30,$E77,S$5:S$30)</f>
        <v>#DIV/0!</v>
      </c>
      <c r="T77" s="78" t="e">
        <f>AVERAGEIF($E$5:$E$30,$E77,T$5:T$30)</f>
        <v>#DIV/0!</v>
      </c>
      <c r="U77" s="78" t="e">
        <f>AVERAGEIF($E$5:$E$30,$E77,U$5:U$30)</f>
        <v>#DIV/0!</v>
      </c>
      <c r="V77" s="78" t="e">
        <f>AVERAGEIF($E$5:$E$30,$E77,V$5:V$30)</f>
        <v>#DIV/0!</v>
      </c>
      <c r="W77" s="78" t="e">
        <f>AVERAGEIF($E$5:$E$30,$E77,W$5:W$30)</f>
        <v>#DIV/0!</v>
      </c>
      <c r="X77" s="78" t="e">
        <f>AVERAGEIF($E$5:$E$30,$E77,X$5:X$30)</f>
        <v>#DIV/0!</v>
      </c>
      <c r="Y77" s="78" t="e">
        <f>AVERAGEIF($E$5:$E$30,$E77,Y$5:Y$30)</f>
        <v>#DIV/0!</v>
      </c>
      <c r="Z77" s="78" t="e">
        <f>AVERAGEIF($E$5:$E$30,$E77,Z$5:Z$30)</f>
        <v>#DIV/0!</v>
      </c>
      <c r="AA77" s="78" t="e">
        <f>AVERAGEIF($E$5:$E$30,$E77,AA$5:AA$30)</f>
        <v>#DIV/0!</v>
      </c>
      <c r="AB77" s="78" t="e">
        <f>AVERAGEIF($E$5:$E$30,$E77,AB$5:AB$30)</f>
        <v>#DIV/0!</v>
      </c>
      <c r="AC77" s="78" t="e">
        <f>AVERAGEIF($E$5:$E$30,$E77,AC$5:AC$30)</f>
        <v>#DIV/0!</v>
      </c>
      <c r="AD77" s="78" t="e">
        <f>AVERAGEIF($E$5:$E$30,$E77,AD$5:AD$30)</f>
        <v>#DIV/0!</v>
      </c>
      <c r="AE77" s="78" t="e">
        <f>AVERAGEIF($E$5:$E$30,$E77,AE$5:AE$30)</f>
        <v>#DIV/0!</v>
      </c>
      <c r="AF77" s="78" t="e">
        <f>AVERAGEIF($E$5:$E$30,$E77,AF$5:AF$30)</f>
        <v>#DIV/0!</v>
      </c>
      <c r="AG77" s="78" t="e">
        <f>AVERAGEIF($E$5:$E$30,$E77,AG$5:AG$30)</f>
        <v>#DIV/0!</v>
      </c>
      <c r="AH77" s="78" t="e">
        <f>AVERAGEIF($E$5:$E$30,$E77,AH$5:AH$30)</f>
        <v>#DIV/0!</v>
      </c>
      <c r="AI77" s="78" t="e">
        <f>AVERAGEIF($E$5:$E$30,$E77,AI$5:AI$30)</f>
        <v>#DIV/0!</v>
      </c>
      <c r="AJ77" s="78" t="e">
        <f>AVERAGEIF($E$5:$E$30,$E77,AJ$5:AJ$30)</f>
        <v>#DIV/0!</v>
      </c>
      <c r="AK77" s="78" t="e">
        <f>AVERAGEIF($E$5:$E$30,$E77,AK$5:AK$30)</f>
        <v>#DIV/0!</v>
      </c>
      <c r="AL77" s="78" t="e">
        <f>AVERAGEIF($E$5:$E$30,$E77,AL$5:AL$30)</f>
        <v>#DIV/0!</v>
      </c>
      <c r="AM77" s="78" t="e">
        <f>AVERAGEIF($E$5:$E$30,$E77,AM$5:AM$30)</f>
        <v>#DIV/0!</v>
      </c>
      <c r="AN77" s="78" t="e">
        <f>AVERAGEIF($E$5:$E$30,$E77,AN$5:AN$30)</f>
        <v>#DIV/0!</v>
      </c>
      <c r="AO77" s="78" t="e">
        <f>AVERAGEIF($E$5:$E$30,$E77,AO$5:AO$30)</f>
        <v>#DIV/0!</v>
      </c>
      <c r="AP77" s="78" t="e">
        <f>AVERAGEIF($E$5:$E$30,$E77,AP$5:AP$30)</f>
        <v>#DIV/0!</v>
      </c>
      <c r="AQ77" s="78" t="e">
        <f>AVERAGEIF($E$5:$E$30,$E77,AQ$5:AQ$30)</f>
        <v>#DIV/0!</v>
      </c>
      <c r="AR77" s="78" t="e">
        <f>AVERAGEIF($E$5:$E$30,$E77,AR$5:AR$30)</f>
        <v>#DIV/0!</v>
      </c>
      <c r="AS77" s="78" t="e">
        <f>AVERAGEIF($E$5:$E$30,$E77,AS$5:AS$30)</f>
        <v>#DIV/0!</v>
      </c>
      <c r="AT77" s="78" t="e">
        <f>AVERAGEIF($E$5:$E$30,$E77,AT$5:AT$30)</f>
        <v>#DIV/0!</v>
      </c>
      <c r="AU77" s="78" t="e">
        <f>AVERAGEIF($E$5:$E$30,$E77,AU$5:AU$30)</f>
        <v>#DIV/0!</v>
      </c>
      <c r="AV77" s="78" t="e">
        <f>AVERAGEIF($E$5:$E$30,$E77,AV$5:AV$30)</f>
        <v>#DIV/0!</v>
      </c>
      <c r="AW77" s="78" t="e">
        <f>AVERAGEIF($E$5:$E$30,$E77,AW$5:AW$30)</f>
        <v>#DIV/0!</v>
      </c>
      <c r="AX77" s="78" t="e">
        <f>AVERAGEIF($E$5:$E$30,$E77,AX$5:AX$30)</f>
        <v>#DIV/0!</v>
      </c>
      <c r="AY77" s="78" t="e">
        <f>AVERAGEIF($E$5:$E$30,$E77,AY$5:AY$30)</f>
        <v>#DIV/0!</v>
      </c>
      <c r="AZ77" s="78" t="e">
        <f>AVERAGEIF($E$5:$E$30,$E77,AZ$5:AZ$30)</f>
        <v>#DIV/0!</v>
      </c>
      <c r="BA77" s="78" t="e">
        <f>AVERAGEIF($E$5:$E$30,$E77,BA$5:BA$30)</f>
        <v>#DIV/0!</v>
      </c>
      <c r="BB77" s="78" t="e">
        <f>AVERAGEIF($E$5:$E$30,$E77,BB$5:BB$30)</f>
        <v>#DIV/0!</v>
      </c>
      <c r="BC77" s="78" t="e">
        <f>AVERAGEIF($E$5:$E$30,$E77,BC$5:BC$30)</f>
        <v>#DIV/0!</v>
      </c>
      <c r="BD77" s="103" t="s">
        <v>9</v>
      </c>
      <c r="BE77" s="73" t="e">
        <f>AVERAGEIF($E$5:$E$30,$E77,BE$5:BE$30)</f>
        <v>#DIV/0!</v>
      </c>
      <c r="BF77" s="73" t="e">
        <f>AVERAGEIF($E$5:$E$30,$E77,BF$5:BF$30)</f>
        <v>#DIV/0!</v>
      </c>
      <c r="BG77" s="73" t="e">
        <f>AVERAGEIF($E$5:$E$30,$E77,BG$5:BG$30)</f>
        <v>#DIV/0!</v>
      </c>
      <c r="BH77" s="73" t="e">
        <f>AVERAGEIF($E$5:$E$30,$E77,BH$5:BH$30)</f>
        <v>#DIV/0!</v>
      </c>
      <c r="BI77" s="73" t="e">
        <f>AVERAGEIF($E$5:$E$30,$E77,BI$5:BI$30)</f>
        <v>#DIV/0!</v>
      </c>
      <c r="BJ77" s="73" t="e">
        <f>AVERAGEIF($E$5:$E$30,$E77,BJ$5:BJ$30)</f>
        <v>#DIV/0!</v>
      </c>
      <c r="BK77" s="73" t="e">
        <f>AVERAGEIF($E$5:$E$30,$E77,BK$5:BK$30)</f>
        <v>#DIV/0!</v>
      </c>
      <c r="BL77" s="73" t="e">
        <f>AVERAGEIF($E$5:$E$30,$E77,BL$5:BL$30)</f>
        <v>#DIV/0!</v>
      </c>
      <c r="BM77" s="73" t="e">
        <f>AVERAGEIF($E$5:$E$30,$E77,BM$5:BM$30)</f>
        <v>#DIV/0!</v>
      </c>
      <c r="BN77" s="73" t="e">
        <f>AVERAGEIF($E$5:$E$30,$E77,BN$5:BN$30)</f>
        <v>#DIV/0!</v>
      </c>
      <c r="BO77" s="73" t="e">
        <f>AVERAGEIF($E$5:$E$30,$E77,BO$5:BO$30)</f>
        <v>#DIV/0!</v>
      </c>
      <c r="BP77" s="73" t="e">
        <f>AVERAGEIF($E$5:$E$30,$E77,BP$5:BP$30)</f>
        <v>#DIV/0!</v>
      </c>
      <c r="BQ77" s="73" t="e">
        <f>AVERAGEIF($E$5:$E$30,$E77,BQ$5:BQ$30)</f>
        <v>#DIV/0!</v>
      </c>
      <c r="BR77" s="73" t="e">
        <f>AVERAGEIF($E$5:$E$30,$E77,BR$5:BR$30)</f>
        <v>#DIV/0!</v>
      </c>
      <c r="BS77" s="73" t="e">
        <f>AVERAGEIF($E$5:$E$30,$E77,BS$5:BS$30)</f>
        <v>#DIV/0!</v>
      </c>
      <c r="BT77" s="73" t="e">
        <f>AVERAGEIF($E$5:$E$30,$E77,BT$5:BT$30)</f>
        <v>#DIV/0!</v>
      </c>
      <c r="BU77" s="73" t="e">
        <f>AVERAGEIF($E$5:$E$30,$E77,BU$5:BU$30)</f>
        <v>#DIV/0!</v>
      </c>
      <c r="BV77" s="73" t="e">
        <f>AVERAGEIF($E$5:$E$30,$E77,BV$5:BV$30)</f>
        <v>#DIV/0!</v>
      </c>
      <c r="BW77" s="73" t="e">
        <f>AVERAGEIF($E$5:$E$30,$E77,BW$5:BW$30)</f>
        <v>#DIV/0!</v>
      </c>
      <c r="BX77" s="73" t="e">
        <f>AVERAGEIF($E$5:$E$30,$E77,BX$5:BX$30)</f>
        <v>#DIV/0!</v>
      </c>
      <c r="BY77" s="73" t="e">
        <f>AVERAGEIF($E$5:$E$30,$E77,BY$5:BY$30)</f>
        <v>#DIV/0!</v>
      </c>
      <c r="BZ77" s="73" t="e">
        <f>AVERAGEIF($E$5:$E$30,$E77,BZ$5:BZ$30)</f>
        <v>#DIV/0!</v>
      </c>
      <c r="CA77" s="73" t="e">
        <f>AVERAGEIF($E$5:$E$30,$E77,CA$5:CA$30)</f>
        <v>#DIV/0!</v>
      </c>
      <c r="CB77" s="73" t="e">
        <f>AVERAGEIF($E$5:$E$30,$E77,CB$5:CB$30)</f>
        <v>#DIV/0!</v>
      </c>
      <c r="CC77" s="73" t="e">
        <f>AVERAGEIF($E$5:$E$30,$E77,CC$5:CC$30)</f>
        <v>#DIV/0!</v>
      </c>
      <c r="CD77" s="73" t="e">
        <f>AVERAGEIF($E$5:$E$30,$E77,CD$5:CD$30)</f>
        <v>#DIV/0!</v>
      </c>
      <c r="CE77" s="73" t="e">
        <f>AVERAGEIF($E$5:$E$30,$E77,CE$5:CE$30)</f>
        <v>#DIV/0!</v>
      </c>
      <c r="CF77" s="73" t="e">
        <f>AVERAGEIF($E$5:$E$30,$E77,CF$5:CF$30)</f>
        <v>#DIV/0!</v>
      </c>
      <c r="CG77" s="73" t="e">
        <f>AVERAGEIF($E$5:$E$30,$E77,CG$5:CG$30)</f>
        <v>#DIV/0!</v>
      </c>
      <c r="CH77" s="73" t="e">
        <f>AVERAGEIF($E$5:$E$30,$E77,CH$5:CH$30)</f>
        <v>#DIV/0!</v>
      </c>
      <c r="CI77" s="73" t="e">
        <f>AVERAGEIF($E$5:$E$30,$E77,CI$5:CI$30)</f>
        <v>#DIV/0!</v>
      </c>
      <c r="CJ77" s="73" t="e">
        <f>AVERAGEIF($E$5:$E$30,$E77,CJ$5:CJ$30)</f>
        <v>#DIV/0!</v>
      </c>
      <c r="CK77" s="73" t="e">
        <f>AVERAGEIF($E$5:$E$30,$E77,CK$5:CK$30)</f>
        <v>#DIV/0!</v>
      </c>
      <c r="CL77" s="73" t="e">
        <f>AVERAGEIF($E$5:$E$30,$E77,CL$5:CL$30)</f>
        <v>#DIV/0!</v>
      </c>
      <c r="CM77" s="73" t="e">
        <f>AVERAGEIF($E$5:$E$30,$E77,CM$5:CM$30)</f>
        <v>#DIV/0!</v>
      </c>
      <c r="CN77" s="73" t="e">
        <f>AVERAGEIF($E$5:$E$30,$E77,CN$5:CN$30)</f>
        <v>#DIV/0!</v>
      </c>
      <c r="CO77" s="73" t="e">
        <f>AVERAGEIF($E$5:$E$30,$E77,CO$5:CO$30)</f>
        <v>#DIV/0!</v>
      </c>
      <c r="CP77" s="73" t="e">
        <f>AVERAGEIF($E$5:$E$30,$E77,CP$5:CP$30)</f>
        <v>#DIV/0!</v>
      </c>
      <c r="CQ77" s="73" t="e">
        <f>AVERAGEIF($E$5:$E$30,$E77,CQ$5:CQ$30)</f>
        <v>#DIV/0!</v>
      </c>
      <c r="CR77" s="73" t="e">
        <f>AVERAGEIF($E$5:$E$30,$E77,CR$5:CR$30)</f>
        <v>#DIV/0!</v>
      </c>
      <c r="CS77" s="73" t="e">
        <f>AVERAGEIF($E$5:$E$30,$E77,CS$5:CS$30)</f>
        <v>#DIV/0!</v>
      </c>
      <c r="CT77" s="73" t="e">
        <f>AVERAGEIF($E$5:$E$30,$E77,CT$5:CT$30)</f>
        <v>#DIV/0!</v>
      </c>
      <c r="CU77" s="73" t="e">
        <f>AVERAGEIF($E$5:$E$30,$E77,CU$5:CU$30)</f>
        <v>#DIV/0!</v>
      </c>
      <c r="CV77" s="73" t="e">
        <f>AVERAGEIF($E$5:$E$30,$E77,CV$5:CV$30)</f>
        <v>#DIV/0!</v>
      </c>
      <c r="CW77" s="76"/>
    </row>
    <row r="78" spans="1:101" ht="14.25" customHeight="1">
      <c r="A78" s="113"/>
      <c r="E78" s="93"/>
      <c r="I78" s="93"/>
      <c r="J78" s="227" t="e">
        <f t="array" ref="J78">_xlfn.STDEV.P(IF($E$5:$E$30=$E77,J$5:J$30))</f>
        <v>#DIV/0!</v>
      </c>
      <c r="K78" s="72" t="s">
        <v>11</v>
      </c>
      <c r="L78" s="81" t="e">
        <f t="array" ref="L78">_xlfn.STDEV.P(IF($E$5:$E$30=$E77,L$5:L$30))</f>
        <v>#DIV/0!</v>
      </c>
      <c r="M78" s="81" t="e">
        <f t="array" ref="M78">_xlfn.STDEV.P(IF($E$5:$E$30=$E77,M$5:M$30))</f>
        <v>#DIV/0!</v>
      </c>
      <c r="N78" s="81" t="e">
        <f t="array" ref="N78">_xlfn.STDEV.P(IF($E$5:$E$30=$E77,N$5:N$30))</f>
        <v>#DIV/0!</v>
      </c>
      <c r="O78" s="81" t="e">
        <f t="array" ref="O78">_xlfn.STDEV.P(IF($E$5:$E$30=$E77,O$5:O$30))</f>
        <v>#DIV/0!</v>
      </c>
      <c r="P78" s="81" t="e">
        <f t="array" ref="P78">_xlfn.STDEV.P(IF($E$5:$E$30=$E77,P$5:P$30))</f>
        <v>#DIV/0!</v>
      </c>
      <c r="Q78" s="81" t="e">
        <f t="array" ref="Q78">_xlfn.STDEV.P(IF($E$5:$E$30=$E77,Q$5:Q$30))</f>
        <v>#DIV/0!</v>
      </c>
      <c r="R78" s="81" t="e">
        <f t="array" ref="R78">_xlfn.STDEV.P(IF($E$5:$E$30=$E77,R$5:R$30))</f>
        <v>#DIV/0!</v>
      </c>
      <c r="S78" s="81" t="e">
        <f t="array" ref="S78">_xlfn.STDEV.P(IF($E$5:$E$30=$E77,S$5:S$30))</f>
        <v>#DIV/0!</v>
      </c>
      <c r="T78" s="81" t="e">
        <f t="array" ref="T78">_xlfn.STDEV.P(IF($E$5:$E$30=$E77,T$5:T$30))</f>
        <v>#DIV/0!</v>
      </c>
      <c r="U78" s="81" t="e">
        <f t="array" ref="U78">_xlfn.STDEV.P(IF($E$5:$E$30=$E77,U$5:U$30))</f>
        <v>#DIV/0!</v>
      </c>
      <c r="V78" s="81" t="e">
        <f t="array" ref="V78">_xlfn.STDEV.P(IF($E$5:$E$30=$E77,V$5:V$30))</f>
        <v>#DIV/0!</v>
      </c>
      <c r="W78" s="81" t="e">
        <f t="array" ref="W78">_xlfn.STDEV.P(IF($E$5:$E$30=$E77,W$5:W$30))</f>
        <v>#DIV/0!</v>
      </c>
      <c r="X78" s="81" t="e">
        <f t="array" ref="X78">_xlfn.STDEV.P(IF($E$5:$E$30=$E77,X$5:X$30))</f>
        <v>#DIV/0!</v>
      </c>
      <c r="Y78" s="81" t="e">
        <f t="array" ref="Y78">_xlfn.STDEV.P(IF($E$5:$E$30=$E77,Y$5:Y$30))</f>
        <v>#DIV/0!</v>
      </c>
      <c r="Z78" s="81" t="e">
        <f t="array" ref="Z78">_xlfn.STDEV.P(IF($E$5:$E$30=$E77,Z$5:Z$30))</f>
        <v>#DIV/0!</v>
      </c>
      <c r="AA78" s="81" t="e">
        <f t="array" ref="AA78">_xlfn.STDEV.P(IF($E$5:$E$30=$E77,AA$5:AA$30))</f>
        <v>#DIV/0!</v>
      </c>
      <c r="AB78" s="81" t="e">
        <f t="array" ref="AB78">_xlfn.STDEV.P(IF($E$5:$E$30=$E77,AB$5:AB$30))</f>
        <v>#DIV/0!</v>
      </c>
      <c r="AC78" s="81" t="e">
        <f t="array" ref="AC78">_xlfn.STDEV.P(IF($E$5:$E$30=$E77,AC$5:AC$30))</f>
        <v>#DIV/0!</v>
      </c>
      <c r="AD78" s="81" t="e">
        <f t="array" ref="AD78">_xlfn.STDEV.P(IF($E$5:$E$30=$E77,AD$5:AD$30))</f>
        <v>#DIV/0!</v>
      </c>
      <c r="AE78" s="81" t="e">
        <f t="array" ref="AE78">_xlfn.STDEV.P(IF($E$5:$E$30=$E77,AE$5:AE$30))</f>
        <v>#DIV/0!</v>
      </c>
      <c r="AF78" s="81" t="e">
        <f t="array" ref="AF78">_xlfn.STDEV.P(IF($E$5:$E$30=$E77,AF$5:AF$30))</f>
        <v>#DIV/0!</v>
      </c>
      <c r="AG78" s="81" t="e">
        <f t="array" ref="AG78">_xlfn.STDEV.P(IF($E$5:$E$30=$E77,AG$5:AG$30))</f>
        <v>#DIV/0!</v>
      </c>
      <c r="AH78" s="81" t="e">
        <f t="array" ref="AH78">_xlfn.STDEV.P(IF($E$5:$E$30=$E77,AH$5:AH$30))</f>
        <v>#DIV/0!</v>
      </c>
      <c r="AI78" s="81" t="e">
        <f t="array" ref="AI78">_xlfn.STDEV.P(IF($E$5:$E$30=$E77,AI$5:AI$30))</f>
        <v>#DIV/0!</v>
      </c>
      <c r="AJ78" s="81" t="e">
        <f t="array" ref="AJ78">_xlfn.STDEV.P(IF($E$5:$E$30=$E77,AJ$5:AJ$30))</f>
        <v>#DIV/0!</v>
      </c>
      <c r="AK78" s="81" t="e">
        <f t="array" ref="AK78">_xlfn.STDEV.P(IF($E$5:$E$30=$E77,AK$5:AK$30))</f>
        <v>#DIV/0!</v>
      </c>
      <c r="AL78" s="81" t="e">
        <f t="array" ref="AL78">_xlfn.STDEV.P(IF($E$5:$E$30=$E77,AL$5:AL$30))</f>
        <v>#DIV/0!</v>
      </c>
      <c r="AM78" s="81" t="e">
        <f t="array" ref="AM78">_xlfn.STDEV.P(IF($E$5:$E$30=$E77,AM$5:AM$30))</f>
        <v>#DIV/0!</v>
      </c>
      <c r="AN78" s="81" t="e">
        <f t="array" ref="AN78">_xlfn.STDEV.P(IF($E$5:$E$30=$E77,AN$5:AN$30))</f>
        <v>#DIV/0!</v>
      </c>
      <c r="AO78" s="81" t="e">
        <f t="array" ref="AO78">_xlfn.STDEV.P(IF($E$5:$E$30=$E77,AO$5:AO$30))</f>
        <v>#DIV/0!</v>
      </c>
      <c r="AP78" s="81" t="e">
        <f t="array" ref="AP78">_xlfn.STDEV.P(IF($E$5:$E$30=$E77,AP$5:AP$30))</f>
        <v>#DIV/0!</v>
      </c>
      <c r="AQ78" s="81" t="e">
        <f t="array" ref="AQ78">_xlfn.STDEV.P(IF($E$5:$E$30=$E77,AQ$5:AQ$30))</f>
        <v>#DIV/0!</v>
      </c>
      <c r="AR78" s="81" t="e">
        <f t="array" ref="AR78">_xlfn.STDEV.P(IF($E$5:$E$30=$E77,AR$5:AR$30))</f>
        <v>#DIV/0!</v>
      </c>
      <c r="AS78" s="81" t="e">
        <f t="array" ref="AS78">_xlfn.STDEV.P(IF($E$5:$E$30=$E77,AS$5:AS$30))</f>
        <v>#DIV/0!</v>
      </c>
      <c r="AT78" s="81" t="e">
        <f t="array" ref="AT78">_xlfn.STDEV.P(IF($E$5:$E$30=$E77,AT$5:AT$30))</f>
        <v>#DIV/0!</v>
      </c>
      <c r="AU78" s="81" t="e">
        <f t="array" ref="AU78">_xlfn.STDEV.P(IF($E$5:$E$30=$E77,AU$5:AU$30))</f>
        <v>#DIV/0!</v>
      </c>
      <c r="AV78" s="81" t="e">
        <f t="array" ref="AV78">_xlfn.STDEV.P(IF($E$5:$E$30=$E77,AV$5:AV$30))</f>
        <v>#DIV/0!</v>
      </c>
      <c r="AW78" s="81" t="e">
        <f t="array" ref="AW78">_xlfn.STDEV.P(IF($E$5:$E$30=$E77,AW$5:AW$30))</f>
        <v>#DIV/0!</v>
      </c>
      <c r="AX78" s="81" t="e">
        <f t="array" ref="AX78">_xlfn.STDEV.P(IF($E$5:$E$30=$E77,AX$5:AX$30))</f>
        <v>#DIV/0!</v>
      </c>
      <c r="AY78" s="81" t="e">
        <f t="array" ref="AY78">_xlfn.STDEV.P(IF($E$5:$E$30=$E77,AY$5:AY$30))</f>
        <v>#DIV/0!</v>
      </c>
      <c r="AZ78" s="81" t="e">
        <f t="array" ref="AZ78">_xlfn.STDEV.P(IF($E$5:$E$30=$E77,AZ$5:AZ$30))</f>
        <v>#DIV/0!</v>
      </c>
      <c r="BA78" s="81" t="e">
        <f t="array" ref="BA78">_xlfn.STDEV.P(IF($E$5:$E$30=$E77,BA$5:BA$30))</f>
        <v>#DIV/0!</v>
      </c>
      <c r="BB78" s="81" t="e">
        <f t="array" ref="BB78">_xlfn.STDEV.P(IF($E$5:$E$30=$E77,BB$5:BB$30))</f>
        <v>#DIV/0!</v>
      </c>
      <c r="BC78" s="81" t="e">
        <f t="array" ref="BC78">_xlfn.STDEV.P(IF($E$5:$E$30=$E77,BC$5:BC$30))</f>
        <v>#DIV/0!</v>
      </c>
      <c r="BD78" s="104" t="s">
        <v>11</v>
      </c>
      <c r="BE78" s="74" t="e">
        <f t="array" ref="BE78">_xlfn.STDEV.P(IF($E$5:$E$30=$E77,BE$5:BE$30))</f>
        <v>#DIV/0!</v>
      </c>
      <c r="BF78" s="74" t="e">
        <f t="array" ref="BF78">_xlfn.STDEV.P(IF($E$5:$E$30=$E77,BF$5:BF$30))</f>
        <v>#DIV/0!</v>
      </c>
      <c r="BG78" s="74" t="e">
        <f t="array" ref="BG78">_xlfn.STDEV.P(IF($E$5:$E$30=$E77,BG$5:BG$30))</f>
        <v>#DIV/0!</v>
      </c>
      <c r="BH78" s="74" t="e">
        <f t="array" ref="BH78">_xlfn.STDEV.P(IF($E$5:$E$30=$E77,BH$5:BH$30))</f>
        <v>#DIV/0!</v>
      </c>
      <c r="BI78" s="74" t="e">
        <f t="array" ref="BI78">_xlfn.STDEV.P(IF($E$5:$E$30=$E77,BI$5:BI$30))</f>
        <v>#DIV/0!</v>
      </c>
      <c r="BJ78" s="74" t="e">
        <f t="array" ref="BJ78">_xlfn.STDEV.P(IF($E$5:$E$30=$E77,BJ$5:BJ$30))</f>
        <v>#DIV/0!</v>
      </c>
      <c r="BK78" s="74" t="e">
        <f t="array" ref="BK78">_xlfn.STDEV.P(IF($E$5:$E$30=$E77,BK$5:BK$30))</f>
        <v>#DIV/0!</v>
      </c>
      <c r="BL78" s="74" t="e">
        <f t="array" ref="BL78">_xlfn.STDEV.P(IF($E$5:$E$30=$E77,BL$5:BL$30))</f>
        <v>#DIV/0!</v>
      </c>
      <c r="BM78" s="74" t="e">
        <f t="array" ref="BM78">_xlfn.STDEV.P(IF($E$5:$E$30=$E77,BM$5:BM$30))</f>
        <v>#DIV/0!</v>
      </c>
      <c r="BN78" s="74" t="e">
        <f t="array" ref="BN78">_xlfn.STDEV.P(IF($E$5:$E$30=$E77,BN$5:BN$30))</f>
        <v>#DIV/0!</v>
      </c>
      <c r="BO78" s="74" t="e">
        <f t="array" ref="BO78">_xlfn.STDEV.P(IF($E$5:$E$30=$E77,BO$5:BO$30))</f>
        <v>#DIV/0!</v>
      </c>
      <c r="BP78" s="74" t="e">
        <f t="array" ref="BP78">_xlfn.STDEV.P(IF($E$5:$E$30=$E77,BP$5:BP$30))</f>
        <v>#DIV/0!</v>
      </c>
      <c r="BQ78" s="74" t="e">
        <f t="array" ref="BQ78">_xlfn.STDEV.P(IF($E$5:$E$30=$E77,BQ$5:BQ$30))</f>
        <v>#DIV/0!</v>
      </c>
      <c r="BR78" s="74" t="e">
        <f t="array" ref="BR78">_xlfn.STDEV.P(IF($E$5:$E$30=$E77,BR$5:BR$30))</f>
        <v>#DIV/0!</v>
      </c>
      <c r="BS78" s="74" t="e">
        <f t="array" ref="BS78">_xlfn.STDEV.P(IF($E$5:$E$30=$E77,BS$5:BS$30))</f>
        <v>#DIV/0!</v>
      </c>
      <c r="BT78" s="74" t="e">
        <f t="array" ref="BT78">_xlfn.STDEV.P(IF($E$5:$E$30=$E77,BT$5:BT$30))</f>
        <v>#DIV/0!</v>
      </c>
      <c r="BU78" s="74" t="e">
        <f t="array" ref="BU78">_xlfn.STDEV.P(IF($E$5:$E$30=$E77,BU$5:BU$30))</f>
        <v>#DIV/0!</v>
      </c>
      <c r="BV78" s="74" t="e">
        <f t="array" ref="BV78">_xlfn.STDEV.P(IF($E$5:$E$30=$E77,BV$5:BV$30))</f>
        <v>#DIV/0!</v>
      </c>
      <c r="BW78" s="74" t="e">
        <f t="array" ref="BW78">_xlfn.STDEV.P(IF($E$5:$E$30=$E77,BW$5:BW$30))</f>
        <v>#DIV/0!</v>
      </c>
      <c r="BX78" s="74" t="e">
        <f t="array" ref="BX78">_xlfn.STDEV.P(IF($E$5:$E$30=$E77,BX$5:BX$30))</f>
        <v>#DIV/0!</v>
      </c>
      <c r="BY78" s="74" t="e">
        <f t="array" ref="BY78">_xlfn.STDEV.P(IF($E$5:$E$30=$E77,BY$5:BY$30))</f>
        <v>#DIV/0!</v>
      </c>
      <c r="BZ78" s="74" t="e">
        <f t="array" ref="BZ78">_xlfn.STDEV.P(IF($E$5:$E$30=$E77,BZ$5:BZ$30))</f>
        <v>#DIV/0!</v>
      </c>
      <c r="CA78" s="74" t="e">
        <f t="array" ref="CA78">_xlfn.STDEV.P(IF($E$5:$E$30=$E77,CA$5:CA$30))</f>
        <v>#DIV/0!</v>
      </c>
      <c r="CB78" s="74" t="e">
        <f t="array" ref="CB78">_xlfn.STDEV.P(IF($E$5:$E$30=$E77,CB$5:CB$30))</f>
        <v>#DIV/0!</v>
      </c>
      <c r="CC78" s="74" t="e">
        <f t="array" ref="CC78">_xlfn.STDEV.P(IF($E$5:$E$30=$E77,CC$5:CC$30))</f>
        <v>#DIV/0!</v>
      </c>
      <c r="CD78" s="74" t="e">
        <f t="array" ref="CD78">_xlfn.STDEV.P(IF($E$5:$E$30=$E77,CD$5:CD$30))</f>
        <v>#DIV/0!</v>
      </c>
      <c r="CE78" s="74" t="e">
        <f t="array" ref="CE78">_xlfn.STDEV.P(IF($E$5:$E$30=$E77,CE$5:CE$30))</f>
        <v>#DIV/0!</v>
      </c>
      <c r="CF78" s="74" t="e">
        <f t="array" ref="CF78">_xlfn.STDEV.P(IF($E$5:$E$30=$E77,CF$5:CF$30))</f>
        <v>#DIV/0!</v>
      </c>
      <c r="CG78" s="74" t="e">
        <f t="array" ref="CG78">_xlfn.STDEV.P(IF($E$5:$E$30=$E77,CG$5:CG$30))</f>
        <v>#DIV/0!</v>
      </c>
      <c r="CH78" s="74" t="e">
        <f t="array" ref="CH78">_xlfn.STDEV.P(IF($E$5:$E$30=$E77,CH$5:CH$30))</f>
        <v>#DIV/0!</v>
      </c>
      <c r="CI78" s="74" t="e">
        <f t="array" ref="CI78">_xlfn.STDEV.P(IF($E$5:$E$30=$E77,CI$5:CI$30))</f>
        <v>#DIV/0!</v>
      </c>
      <c r="CJ78" s="74" t="e">
        <f t="array" ref="CJ78">_xlfn.STDEV.P(IF($E$5:$E$30=$E77,CJ$5:CJ$30))</f>
        <v>#DIV/0!</v>
      </c>
      <c r="CK78" s="74" t="e">
        <f t="array" ref="CK78">_xlfn.STDEV.P(IF($E$5:$E$30=$E77,CK$5:CK$30))</f>
        <v>#DIV/0!</v>
      </c>
      <c r="CL78" s="74" t="e">
        <f t="array" ref="CL78">_xlfn.STDEV.P(IF($E$5:$E$30=$E77,CL$5:CL$30))</f>
        <v>#DIV/0!</v>
      </c>
      <c r="CM78" s="74" t="e">
        <f t="array" ref="CM78">_xlfn.STDEV.P(IF($E$5:$E$30=$E77,CM$5:CM$30))</f>
        <v>#DIV/0!</v>
      </c>
      <c r="CN78" s="74" t="e">
        <f t="array" ref="CN78">_xlfn.STDEV.P(IF($E$5:$E$30=$E77,CN$5:CN$30))</f>
        <v>#DIV/0!</v>
      </c>
      <c r="CO78" s="74" t="e">
        <f t="array" ref="CO78">_xlfn.STDEV.P(IF($E$5:$E$30=$E77,CO$5:CO$30))</f>
        <v>#DIV/0!</v>
      </c>
      <c r="CP78" s="74" t="e">
        <f t="array" ref="CP78">_xlfn.STDEV.P(IF($E$5:$E$30=$E77,CP$5:CP$30))</f>
        <v>#DIV/0!</v>
      </c>
      <c r="CQ78" s="74" t="e">
        <f t="array" ref="CQ78">_xlfn.STDEV.P(IF($E$5:$E$30=$E77,CQ$5:CQ$30))</f>
        <v>#DIV/0!</v>
      </c>
      <c r="CR78" s="74" t="e">
        <f t="array" ref="CR78">_xlfn.STDEV.P(IF($E$5:$E$30=$E77,CR$5:CR$30))</f>
        <v>#DIV/0!</v>
      </c>
      <c r="CS78" s="74" t="e">
        <f t="array" ref="CS78">_xlfn.STDEV.P(IF($E$5:$E$30=$E77,CS$5:CS$30))</f>
        <v>#DIV/0!</v>
      </c>
      <c r="CT78" s="74" t="e">
        <f t="array" ref="CT78">_xlfn.STDEV.P(IF($E$5:$E$30=$E77,CT$5:CT$30))</f>
        <v>#DIV/0!</v>
      </c>
      <c r="CU78" s="74" t="e">
        <f t="array" ref="CU78">_xlfn.STDEV.P(IF($E$5:$E$30=$E77,CU$5:CU$30))</f>
        <v>#DIV/0!</v>
      </c>
      <c r="CV78" s="74" t="e">
        <f t="array" ref="CV78">_xlfn.STDEV.P(IF($E$5:$E$30=$E77,CV$5:CV$30))</f>
        <v>#DIV/0!</v>
      </c>
      <c r="CW78" s="76"/>
    </row>
    <row r="79" spans="1:101" ht="15">
      <c r="A79" s="113"/>
      <c r="E79" s="118"/>
      <c r="I79" s="52"/>
    </row>
    <row r="80" spans="1:101" ht="14.25" customHeight="1">
      <c r="A80" s="113"/>
      <c r="E80" s="118" t="str">
        <f>'FIG6 Groups'!C21</f>
        <v>Group 16</v>
      </c>
      <c r="I80" s="118" t="str">
        <f>E80</f>
        <v>Group 16</v>
      </c>
      <c r="J80" s="227" t="e">
        <f>AVERAGEIF($E$5:$E$30,$E80,J$5:J$30)</f>
        <v>#DIV/0!</v>
      </c>
      <c r="K80" s="72" t="s">
        <v>9</v>
      </c>
      <c r="L80" s="78" t="e">
        <f>AVERAGEIF($E$5:$E$30,$E80,L$5:L$30)</f>
        <v>#DIV/0!</v>
      </c>
      <c r="M80" s="78" t="e">
        <f>AVERAGEIF($E$5:$E$30,$E80,M$5:M$30)</f>
        <v>#DIV/0!</v>
      </c>
      <c r="N80" s="78" t="e">
        <f>AVERAGEIF($E$5:$E$30,$E80,N$5:N$30)</f>
        <v>#DIV/0!</v>
      </c>
      <c r="O80" s="78" t="e">
        <f>AVERAGEIF($E$5:$E$30,$E80,O$5:O$30)</f>
        <v>#DIV/0!</v>
      </c>
      <c r="P80" s="78" t="e">
        <f>AVERAGEIF($E$5:$E$30,$E80,P$5:P$30)</f>
        <v>#DIV/0!</v>
      </c>
      <c r="Q80" s="78" t="e">
        <f>AVERAGEIF($E$5:$E$30,$E80,Q$5:Q$30)</f>
        <v>#DIV/0!</v>
      </c>
      <c r="R80" s="78" t="e">
        <f>AVERAGEIF($E$5:$E$30,$E80,R$5:R$30)</f>
        <v>#DIV/0!</v>
      </c>
      <c r="S80" s="78" t="e">
        <f>AVERAGEIF($E$5:$E$30,$E80,S$5:S$30)</f>
        <v>#DIV/0!</v>
      </c>
      <c r="T80" s="78" t="e">
        <f>AVERAGEIF($E$5:$E$30,$E80,T$5:T$30)</f>
        <v>#DIV/0!</v>
      </c>
      <c r="U80" s="78" t="e">
        <f>AVERAGEIF($E$5:$E$30,$E80,U$5:U$30)</f>
        <v>#DIV/0!</v>
      </c>
      <c r="V80" s="78" t="e">
        <f>AVERAGEIF($E$5:$E$30,$E80,V$5:V$30)</f>
        <v>#DIV/0!</v>
      </c>
      <c r="W80" s="78" t="e">
        <f>AVERAGEIF($E$5:$E$30,$E80,W$5:W$30)</f>
        <v>#DIV/0!</v>
      </c>
      <c r="X80" s="78" t="e">
        <f>AVERAGEIF($E$5:$E$30,$E80,X$5:X$30)</f>
        <v>#DIV/0!</v>
      </c>
      <c r="Y80" s="78" t="e">
        <f>AVERAGEIF($E$5:$E$30,$E80,Y$5:Y$30)</f>
        <v>#DIV/0!</v>
      </c>
      <c r="Z80" s="78" t="e">
        <f>AVERAGEIF($E$5:$E$30,$E80,Z$5:Z$30)</f>
        <v>#DIV/0!</v>
      </c>
      <c r="AA80" s="78" t="e">
        <f>AVERAGEIF($E$5:$E$30,$E80,AA$5:AA$30)</f>
        <v>#DIV/0!</v>
      </c>
      <c r="AB80" s="78" t="e">
        <f>AVERAGEIF($E$5:$E$30,$E80,AB$5:AB$30)</f>
        <v>#DIV/0!</v>
      </c>
      <c r="AC80" s="78" t="e">
        <f>AVERAGEIF($E$5:$E$30,$E80,AC$5:AC$30)</f>
        <v>#DIV/0!</v>
      </c>
      <c r="AD80" s="78" t="e">
        <f>AVERAGEIF($E$5:$E$30,$E80,AD$5:AD$30)</f>
        <v>#DIV/0!</v>
      </c>
      <c r="AE80" s="78" t="e">
        <f>AVERAGEIF($E$5:$E$30,$E80,AE$5:AE$30)</f>
        <v>#DIV/0!</v>
      </c>
      <c r="AF80" s="78" t="e">
        <f>AVERAGEIF($E$5:$E$30,$E80,AF$5:AF$30)</f>
        <v>#DIV/0!</v>
      </c>
      <c r="AG80" s="78" t="e">
        <f>AVERAGEIF($E$5:$E$30,$E80,AG$5:AG$30)</f>
        <v>#DIV/0!</v>
      </c>
      <c r="AH80" s="78" t="e">
        <f>AVERAGEIF($E$5:$E$30,$E80,AH$5:AH$30)</f>
        <v>#DIV/0!</v>
      </c>
      <c r="AI80" s="78" t="e">
        <f>AVERAGEIF($E$5:$E$30,$E80,AI$5:AI$30)</f>
        <v>#DIV/0!</v>
      </c>
      <c r="AJ80" s="78" t="e">
        <f>AVERAGEIF($E$5:$E$30,$E80,AJ$5:AJ$30)</f>
        <v>#DIV/0!</v>
      </c>
      <c r="AK80" s="78" t="e">
        <f>AVERAGEIF($E$5:$E$30,$E80,AK$5:AK$30)</f>
        <v>#DIV/0!</v>
      </c>
      <c r="AL80" s="78" t="e">
        <f>AVERAGEIF($E$5:$E$30,$E80,AL$5:AL$30)</f>
        <v>#DIV/0!</v>
      </c>
      <c r="AM80" s="78" t="e">
        <f>AVERAGEIF($E$5:$E$30,$E80,AM$5:AM$30)</f>
        <v>#DIV/0!</v>
      </c>
      <c r="AN80" s="78" t="e">
        <f>AVERAGEIF($E$5:$E$30,$E80,AN$5:AN$30)</f>
        <v>#DIV/0!</v>
      </c>
      <c r="AO80" s="78" t="e">
        <f>AVERAGEIF($E$5:$E$30,$E80,AO$5:AO$30)</f>
        <v>#DIV/0!</v>
      </c>
      <c r="AP80" s="78" t="e">
        <f>AVERAGEIF($E$5:$E$30,$E80,AP$5:AP$30)</f>
        <v>#DIV/0!</v>
      </c>
      <c r="AQ80" s="78" t="e">
        <f>AVERAGEIF($E$5:$E$30,$E80,AQ$5:AQ$30)</f>
        <v>#DIV/0!</v>
      </c>
      <c r="AR80" s="78" t="e">
        <f>AVERAGEIF($E$5:$E$30,$E80,AR$5:AR$30)</f>
        <v>#DIV/0!</v>
      </c>
      <c r="AS80" s="78" t="e">
        <f>AVERAGEIF($E$5:$E$30,$E80,AS$5:AS$30)</f>
        <v>#DIV/0!</v>
      </c>
      <c r="AT80" s="78" t="e">
        <f>AVERAGEIF($E$5:$E$30,$E80,AT$5:AT$30)</f>
        <v>#DIV/0!</v>
      </c>
      <c r="AU80" s="78" t="e">
        <f>AVERAGEIF($E$5:$E$30,$E80,AU$5:AU$30)</f>
        <v>#DIV/0!</v>
      </c>
      <c r="AV80" s="78" t="e">
        <f>AVERAGEIF($E$5:$E$30,$E80,AV$5:AV$30)</f>
        <v>#DIV/0!</v>
      </c>
      <c r="AW80" s="78" t="e">
        <f>AVERAGEIF($E$5:$E$30,$E80,AW$5:AW$30)</f>
        <v>#DIV/0!</v>
      </c>
      <c r="AX80" s="78" t="e">
        <f>AVERAGEIF($E$5:$E$30,$E80,AX$5:AX$30)</f>
        <v>#DIV/0!</v>
      </c>
      <c r="AY80" s="78" t="e">
        <f>AVERAGEIF($E$5:$E$30,$E80,AY$5:AY$30)</f>
        <v>#DIV/0!</v>
      </c>
      <c r="AZ80" s="78" t="e">
        <f>AVERAGEIF($E$5:$E$30,$E80,AZ$5:AZ$30)</f>
        <v>#DIV/0!</v>
      </c>
      <c r="BA80" s="78" t="e">
        <f>AVERAGEIF($E$5:$E$30,$E80,BA$5:BA$30)</f>
        <v>#DIV/0!</v>
      </c>
      <c r="BB80" s="78" t="e">
        <f>AVERAGEIF($E$5:$E$30,$E80,BB$5:BB$30)</f>
        <v>#DIV/0!</v>
      </c>
      <c r="BC80" s="78" t="e">
        <f>AVERAGEIF($E$5:$E$30,$E80,BC$5:BC$30)</f>
        <v>#DIV/0!</v>
      </c>
      <c r="BD80" s="103" t="s">
        <v>9</v>
      </c>
      <c r="BE80" s="73" t="e">
        <f>AVERAGEIF($E$5:$E$30,$E80,BE$5:BE$30)</f>
        <v>#DIV/0!</v>
      </c>
      <c r="BF80" s="73" t="e">
        <f>AVERAGEIF($E$5:$E$30,$E80,BF$5:BF$30)</f>
        <v>#DIV/0!</v>
      </c>
      <c r="BG80" s="73" t="e">
        <f>AVERAGEIF($E$5:$E$30,$E80,BG$5:BG$30)</f>
        <v>#DIV/0!</v>
      </c>
      <c r="BH80" s="73" t="e">
        <f>AVERAGEIF($E$5:$E$30,$E80,BH$5:BH$30)</f>
        <v>#DIV/0!</v>
      </c>
      <c r="BI80" s="73" t="e">
        <f>AVERAGEIF($E$5:$E$30,$E80,BI$5:BI$30)</f>
        <v>#DIV/0!</v>
      </c>
      <c r="BJ80" s="73" t="e">
        <f>AVERAGEIF($E$5:$E$30,$E80,BJ$5:BJ$30)</f>
        <v>#DIV/0!</v>
      </c>
      <c r="BK80" s="73" t="e">
        <f>AVERAGEIF($E$5:$E$30,$E80,BK$5:BK$30)</f>
        <v>#DIV/0!</v>
      </c>
      <c r="BL80" s="73" t="e">
        <f>AVERAGEIF($E$5:$E$30,$E80,BL$5:BL$30)</f>
        <v>#DIV/0!</v>
      </c>
      <c r="BM80" s="73" t="e">
        <f>AVERAGEIF($E$5:$E$30,$E80,BM$5:BM$30)</f>
        <v>#DIV/0!</v>
      </c>
      <c r="BN80" s="73" t="e">
        <f>AVERAGEIF($E$5:$E$30,$E80,BN$5:BN$30)</f>
        <v>#DIV/0!</v>
      </c>
      <c r="BO80" s="73" t="e">
        <f>AVERAGEIF($E$5:$E$30,$E80,BO$5:BO$30)</f>
        <v>#DIV/0!</v>
      </c>
      <c r="BP80" s="73" t="e">
        <f>AVERAGEIF($E$5:$E$30,$E80,BP$5:BP$30)</f>
        <v>#DIV/0!</v>
      </c>
      <c r="BQ80" s="73" t="e">
        <f>AVERAGEIF($E$5:$E$30,$E80,BQ$5:BQ$30)</f>
        <v>#DIV/0!</v>
      </c>
      <c r="BR80" s="73" t="e">
        <f>AVERAGEIF($E$5:$E$30,$E80,BR$5:BR$30)</f>
        <v>#DIV/0!</v>
      </c>
      <c r="BS80" s="73" t="e">
        <f>AVERAGEIF($E$5:$E$30,$E80,BS$5:BS$30)</f>
        <v>#DIV/0!</v>
      </c>
      <c r="BT80" s="73" t="e">
        <f>AVERAGEIF($E$5:$E$30,$E80,BT$5:BT$30)</f>
        <v>#DIV/0!</v>
      </c>
      <c r="BU80" s="73" t="e">
        <f>AVERAGEIF($E$5:$E$30,$E80,BU$5:BU$30)</f>
        <v>#DIV/0!</v>
      </c>
      <c r="BV80" s="73" t="e">
        <f>AVERAGEIF($E$5:$E$30,$E80,BV$5:BV$30)</f>
        <v>#DIV/0!</v>
      </c>
      <c r="BW80" s="73" t="e">
        <f>AVERAGEIF($E$5:$E$30,$E80,BW$5:BW$30)</f>
        <v>#DIV/0!</v>
      </c>
      <c r="BX80" s="73" t="e">
        <f>AVERAGEIF($E$5:$E$30,$E80,BX$5:BX$30)</f>
        <v>#DIV/0!</v>
      </c>
      <c r="BY80" s="73" t="e">
        <f>AVERAGEIF($E$5:$E$30,$E80,BY$5:BY$30)</f>
        <v>#DIV/0!</v>
      </c>
      <c r="BZ80" s="73" t="e">
        <f>AVERAGEIF($E$5:$E$30,$E80,BZ$5:BZ$30)</f>
        <v>#DIV/0!</v>
      </c>
      <c r="CA80" s="73" t="e">
        <f>AVERAGEIF($E$5:$E$30,$E80,CA$5:CA$30)</f>
        <v>#DIV/0!</v>
      </c>
      <c r="CB80" s="73" t="e">
        <f>AVERAGEIF($E$5:$E$30,$E80,CB$5:CB$30)</f>
        <v>#DIV/0!</v>
      </c>
      <c r="CC80" s="73" t="e">
        <f>AVERAGEIF($E$5:$E$30,$E80,CC$5:CC$30)</f>
        <v>#DIV/0!</v>
      </c>
      <c r="CD80" s="73" t="e">
        <f>AVERAGEIF($E$5:$E$30,$E80,CD$5:CD$30)</f>
        <v>#DIV/0!</v>
      </c>
      <c r="CE80" s="73" t="e">
        <f>AVERAGEIF($E$5:$E$30,$E80,CE$5:CE$30)</f>
        <v>#DIV/0!</v>
      </c>
      <c r="CF80" s="73" t="e">
        <f>AVERAGEIF($E$5:$E$30,$E80,CF$5:CF$30)</f>
        <v>#DIV/0!</v>
      </c>
      <c r="CG80" s="73" t="e">
        <f>AVERAGEIF($E$5:$E$30,$E80,CG$5:CG$30)</f>
        <v>#DIV/0!</v>
      </c>
      <c r="CH80" s="73" t="e">
        <f>AVERAGEIF($E$5:$E$30,$E80,CH$5:CH$30)</f>
        <v>#DIV/0!</v>
      </c>
      <c r="CI80" s="73" t="e">
        <f>AVERAGEIF($E$5:$E$30,$E80,CI$5:CI$30)</f>
        <v>#DIV/0!</v>
      </c>
      <c r="CJ80" s="73" t="e">
        <f>AVERAGEIF($E$5:$E$30,$E80,CJ$5:CJ$30)</f>
        <v>#DIV/0!</v>
      </c>
      <c r="CK80" s="73" t="e">
        <f>AVERAGEIF($E$5:$E$30,$E80,CK$5:CK$30)</f>
        <v>#DIV/0!</v>
      </c>
      <c r="CL80" s="73" t="e">
        <f>AVERAGEIF($E$5:$E$30,$E80,CL$5:CL$30)</f>
        <v>#DIV/0!</v>
      </c>
      <c r="CM80" s="73" t="e">
        <f>AVERAGEIF($E$5:$E$30,$E80,CM$5:CM$30)</f>
        <v>#DIV/0!</v>
      </c>
      <c r="CN80" s="73" t="e">
        <f>AVERAGEIF($E$5:$E$30,$E80,CN$5:CN$30)</f>
        <v>#DIV/0!</v>
      </c>
      <c r="CO80" s="73" t="e">
        <f>AVERAGEIF($E$5:$E$30,$E80,CO$5:CO$30)</f>
        <v>#DIV/0!</v>
      </c>
      <c r="CP80" s="73" t="e">
        <f>AVERAGEIF($E$5:$E$30,$E80,CP$5:CP$30)</f>
        <v>#DIV/0!</v>
      </c>
      <c r="CQ80" s="73" t="e">
        <f>AVERAGEIF($E$5:$E$30,$E80,CQ$5:CQ$30)</f>
        <v>#DIV/0!</v>
      </c>
      <c r="CR80" s="73" t="e">
        <f>AVERAGEIF($E$5:$E$30,$E80,CR$5:CR$30)</f>
        <v>#DIV/0!</v>
      </c>
      <c r="CS80" s="73" t="e">
        <f>AVERAGEIF($E$5:$E$30,$E80,CS$5:CS$30)</f>
        <v>#DIV/0!</v>
      </c>
      <c r="CT80" s="73" t="e">
        <f>AVERAGEIF($E$5:$E$30,$E80,CT$5:CT$30)</f>
        <v>#DIV/0!</v>
      </c>
      <c r="CU80" s="73" t="e">
        <f>AVERAGEIF($E$5:$E$30,$E80,CU$5:CU$30)</f>
        <v>#DIV/0!</v>
      </c>
      <c r="CV80" s="73" t="e">
        <f>AVERAGEIF($E$5:$E$30,$E80,CV$5:CV$30)</f>
        <v>#DIV/0!</v>
      </c>
      <c r="CW80" s="76"/>
    </row>
    <row r="81" spans="1:101" ht="14.25" customHeight="1">
      <c r="A81" s="113"/>
      <c r="E81" s="93"/>
      <c r="I81" s="93"/>
      <c r="J81" s="227" t="e">
        <f t="array" ref="J81">_xlfn.STDEV.P(IF($E$5:$E$30=$E80,J$5:J$30))</f>
        <v>#DIV/0!</v>
      </c>
      <c r="K81" s="72" t="s">
        <v>11</v>
      </c>
      <c r="L81" s="81" t="e">
        <f t="array" ref="L81">_xlfn.STDEV.P(IF($E$5:$E$30=$E80,L$5:L$30))</f>
        <v>#DIV/0!</v>
      </c>
      <c r="M81" s="81" t="e">
        <f t="array" ref="M81">_xlfn.STDEV.P(IF($E$5:$E$30=$E80,M$5:M$30))</f>
        <v>#DIV/0!</v>
      </c>
      <c r="N81" s="81" t="e">
        <f t="array" ref="N81">_xlfn.STDEV.P(IF($E$5:$E$30=$E80,N$5:N$30))</f>
        <v>#DIV/0!</v>
      </c>
      <c r="O81" s="81" t="e">
        <f t="array" ref="O81">_xlfn.STDEV.P(IF($E$5:$E$30=$E80,O$5:O$30))</f>
        <v>#DIV/0!</v>
      </c>
      <c r="P81" s="81" t="e">
        <f t="array" ref="P81">_xlfn.STDEV.P(IF($E$5:$E$30=$E80,P$5:P$30))</f>
        <v>#DIV/0!</v>
      </c>
      <c r="Q81" s="81" t="e">
        <f t="array" ref="Q81">_xlfn.STDEV.P(IF($E$5:$E$30=$E80,Q$5:Q$30))</f>
        <v>#DIV/0!</v>
      </c>
      <c r="R81" s="81" t="e">
        <f t="array" ref="R81">_xlfn.STDEV.P(IF($E$5:$E$30=$E80,R$5:R$30))</f>
        <v>#DIV/0!</v>
      </c>
      <c r="S81" s="81" t="e">
        <f t="array" ref="S81">_xlfn.STDEV.P(IF($E$5:$E$30=$E80,S$5:S$30))</f>
        <v>#DIV/0!</v>
      </c>
      <c r="T81" s="81" t="e">
        <f t="array" ref="T81">_xlfn.STDEV.P(IF($E$5:$E$30=$E80,T$5:T$30))</f>
        <v>#DIV/0!</v>
      </c>
      <c r="U81" s="81" t="e">
        <f t="array" ref="U81">_xlfn.STDEV.P(IF($E$5:$E$30=$E80,U$5:U$30))</f>
        <v>#DIV/0!</v>
      </c>
      <c r="V81" s="81" t="e">
        <f t="array" ref="V81">_xlfn.STDEV.P(IF($E$5:$E$30=$E80,V$5:V$30))</f>
        <v>#DIV/0!</v>
      </c>
      <c r="W81" s="81" t="e">
        <f t="array" ref="W81">_xlfn.STDEV.P(IF($E$5:$E$30=$E80,W$5:W$30))</f>
        <v>#DIV/0!</v>
      </c>
      <c r="X81" s="81" t="e">
        <f t="array" ref="X81">_xlfn.STDEV.P(IF($E$5:$E$30=$E80,X$5:X$30))</f>
        <v>#DIV/0!</v>
      </c>
      <c r="Y81" s="81" t="e">
        <f t="array" ref="Y81">_xlfn.STDEV.P(IF($E$5:$E$30=$E80,Y$5:Y$30))</f>
        <v>#DIV/0!</v>
      </c>
      <c r="Z81" s="81" t="e">
        <f t="array" ref="Z81">_xlfn.STDEV.P(IF($E$5:$E$30=$E80,Z$5:Z$30))</f>
        <v>#DIV/0!</v>
      </c>
      <c r="AA81" s="81" t="e">
        <f t="array" ref="AA81">_xlfn.STDEV.P(IF($E$5:$E$30=$E80,AA$5:AA$30))</f>
        <v>#DIV/0!</v>
      </c>
      <c r="AB81" s="81" t="e">
        <f t="array" ref="AB81">_xlfn.STDEV.P(IF($E$5:$E$30=$E80,AB$5:AB$30))</f>
        <v>#DIV/0!</v>
      </c>
      <c r="AC81" s="81" t="e">
        <f t="array" ref="AC81">_xlfn.STDEV.P(IF($E$5:$E$30=$E80,AC$5:AC$30))</f>
        <v>#DIV/0!</v>
      </c>
      <c r="AD81" s="81" t="e">
        <f t="array" ref="AD81">_xlfn.STDEV.P(IF($E$5:$E$30=$E80,AD$5:AD$30))</f>
        <v>#DIV/0!</v>
      </c>
      <c r="AE81" s="81" t="e">
        <f t="array" ref="AE81">_xlfn.STDEV.P(IF($E$5:$E$30=$E80,AE$5:AE$30))</f>
        <v>#DIV/0!</v>
      </c>
      <c r="AF81" s="81" t="e">
        <f t="array" ref="AF81">_xlfn.STDEV.P(IF($E$5:$E$30=$E80,AF$5:AF$30))</f>
        <v>#DIV/0!</v>
      </c>
      <c r="AG81" s="81" t="e">
        <f t="array" ref="AG81">_xlfn.STDEV.P(IF($E$5:$E$30=$E80,AG$5:AG$30))</f>
        <v>#DIV/0!</v>
      </c>
      <c r="AH81" s="81" t="e">
        <f t="array" ref="AH81">_xlfn.STDEV.P(IF($E$5:$E$30=$E80,AH$5:AH$30))</f>
        <v>#DIV/0!</v>
      </c>
      <c r="AI81" s="81" t="e">
        <f t="array" ref="AI81">_xlfn.STDEV.P(IF($E$5:$E$30=$E80,AI$5:AI$30))</f>
        <v>#DIV/0!</v>
      </c>
      <c r="AJ81" s="81" t="e">
        <f t="array" ref="AJ81">_xlfn.STDEV.P(IF($E$5:$E$30=$E80,AJ$5:AJ$30))</f>
        <v>#DIV/0!</v>
      </c>
      <c r="AK81" s="81" t="e">
        <f t="array" ref="AK81">_xlfn.STDEV.P(IF($E$5:$E$30=$E80,AK$5:AK$30))</f>
        <v>#DIV/0!</v>
      </c>
      <c r="AL81" s="81" t="e">
        <f t="array" ref="AL81">_xlfn.STDEV.P(IF($E$5:$E$30=$E80,AL$5:AL$30))</f>
        <v>#DIV/0!</v>
      </c>
      <c r="AM81" s="81" t="e">
        <f t="array" ref="AM81">_xlfn.STDEV.P(IF($E$5:$E$30=$E80,AM$5:AM$30))</f>
        <v>#DIV/0!</v>
      </c>
      <c r="AN81" s="81" t="e">
        <f t="array" ref="AN81">_xlfn.STDEV.P(IF($E$5:$E$30=$E80,AN$5:AN$30))</f>
        <v>#DIV/0!</v>
      </c>
      <c r="AO81" s="81" t="e">
        <f t="array" ref="AO81">_xlfn.STDEV.P(IF($E$5:$E$30=$E80,AO$5:AO$30))</f>
        <v>#DIV/0!</v>
      </c>
      <c r="AP81" s="81" t="e">
        <f t="array" ref="AP81">_xlfn.STDEV.P(IF($E$5:$E$30=$E80,AP$5:AP$30))</f>
        <v>#DIV/0!</v>
      </c>
      <c r="AQ81" s="81" t="e">
        <f t="array" ref="AQ81">_xlfn.STDEV.P(IF($E$5:$E$30=$E80,AQ$5:AQ$30))</f>
        <v>#DIV/0!</v>
      </c>
      <c r="AR81" s="81" t="e">
        <f t="array" ref="AR81">_xlfn.STDEV.P(IF($E$5:$E$30=$E80,AR$5:AR$30))</f>
        <v>#DIV/0!</v>
      </c>
      <c r="AS81" s="81" t="e">
        <f t="array" ref="AS81">_xlfn.STDEV.P(IF($E$5:$E$30=$E80,AS$5:AS$30))</f>
        <v>#DIV/0!</v>
      </c>
      <c r="AT81" s="81" t="e">
        <f t="array" ref="AT81">_xlfn.STDEV.P(IF($E$5:$E$30=$E80,AT$5:AT$30))</f>
        <v>#DIV/0!</v>
      </c>
      <c r="AU81" s="81" t="e">
        <f t="array" ref="AU81">_xlfn.STDEV.P(IF($E$5:$E$30=$E80,AU$5:AU$30))</f>
        <v>#DIV/0!</v>
      </c>
      <c r="AV81" s="81" t="e">
        <f t="array" ref="AV81">_xlfn.STDEV.P(IF($E$5:$E$30=$E80,AV$5:AV$30))</f>
        <v>#DIV/0!</v>
      </c>
      <c r="AW81" s="81" t="e">
        <f t="array" ref="AW81">_xlfn.STDEV.P(IF($E$5:$E$30=$E80,AW$5:AW$30))</f>
        <v>#DIV/0!</v>
      </c>
      <c r="AX81" s="81" t="e">
        <f t="array" ref="AX81">_xlfn.STDEV.P(IF($E$5:$E$30=$E80,AX$5:AX$30))</f>
        <v>#DIV/0!</v>
      </c>
      <c r="AY81" s="81" t="e">
        <f t="array" ref="AY81">_xlfn.STDEV.P(IF($E$5:$E$30=$E80,AY$5:AY$30))</f>
        <v>#DIV/0!</v>
      </c>
      <c r="AZ81" s="81" t="e">
        <f t="array" ref="AZ81">_xlfn.STDEV.P(IF($E$5:$E$30=$E80,AZ$5:AZ$30))</f>
        <v>#DIV/0!</v>
      </c>
      <c r="BA81" s="81" t="e">
        <f t="array" ref="BA81">_xlfn.STDEV.P(IF($E$5:$E$30=$E80,BA$5:BA$30))</f>
        <v>#DIV/0!</v>
      </c>
      <c r="BB81" s="81" t="e">
        <f t="array" ref="BB81">_xlfn.STDEV.P(IF($E$5:$E$30=$E80,BB$5:BB$30))</f>
        <v>#DIV/0!</v>
      </c>
      <c r="BC81" s="81" t="e">
        <f t="array" ref="BC81">_xlfn.STDEV.P(IF($E$5:$E$30=$E80,BC$5:BC$30))</f>
        <v>#DIV/0!</v>
      </c>
      <c r="BD81" s="104" t="s">
        <v>11</v>
      </c>
      <c r="BE81" s="74" t="e">
        <f t="array" ref="BE81">_xlfn.STDEV.P(IF($E$5:$E$30=$E80,BE$5:BE$30))</f>
        <v>#DIV/0!</v>
      </c>
      <c r="BF81" s="74" t="e">
        <f t="array" ref="BF81">_xlfn.STDEV.P(IF($E$5:$E$30=$E80,BF$5:BF$30))</f>
        <v>#DIV/0!</v>
      </c>
      <c r="BG81" s="74" t="e">
        <f t="array" ref="BG81">_xlfn.STDEV.P(IF($E$5:$E$30=$E80,BG$5:BG$30))</f>
        <v>#DIV/0!</v>
      </c>
      <c r="BH81" s="74" t="e">
        <f t="array" ref="BH81">_xlfn.STDEV.P(IF($E$5:$E$30=$E80,BH$5:BH$30))</f>
        <v>#DIV/0!</v>
      </c>
      <c r="BI81" s="74" t="e">
        <f t="array" ref="BI81">_xlfn.STDEV.P(IF($E$5:$E$30=$E80,BI$5:BI$30))</f>
        <v>#DIV/0!</v>
      </c>
      <c r="BJ81" s="74" t="e">
        <f t="array" ref="BJ81">_xlfn.STDEV.P(IF($E$5:$E$30=$E80,BJ$5:BJ$30))</f>
        <v>#DIV/0!</v>
      </c>
      <c r="BK81" s="74" t="e">
        <f t="array" ref="BK81">_xlfn.STDEV.P(IF($E$5:$E$30=$E80,BK$5:BK$30))</f>
        <v>#DIV/0!</v>
      </c>
      <c r="BL81" s="74" t="e">
        <f t="array" ref="BL81">_xlfn.STDEV.P(IF($E$5:$E$30=$E80,BL$5:BL$30))</f>
        <v>#DIV/0!</v>
      </c>
      <c r="BM81" s="74" t="e">
        <f t="array" ref="BM81">_xlfn.STDEV.P(IF($E$5:$E$30=$E80,BM$5:BM$30))</f>
        <v>#DIV/0!</v>
      </c>
      <c r="BN81" s="74" t="e">
        <f t="array" ref="BN81">_xlfn.STDEV.P(IF($E$5:$E$30=$E80,BN$5:BN$30))</f>
        <v>#DIV/0!</v>
      </c>
      <c r="BO81" s="74" t="e">
        <f t="array" ref="BO81">_xlfn.STDEV.P(IF($E$5:$E$30=$E80,BO$5:BO$30))</f>
        <v>#DIV/0!</v>
      </c>
      <c r="BP81" s="74" t="e">
        <f t="array" ref="BP81">_xlfn.STDEV.P(IF($E$5:$E$30=$E80,BP$5:BP$30))</f>
        <v>#DIV/0!</v>
      </c>
      <c r="BQ81" s="74" t="e">
        <f t="array" ref="BQ81">_xlfn.STDEV.P(IF($E$5:$E$30=$E80,BQ$5:BQ$30))</f>
        <v>#DIV/0!</v>
      </c>
      <c r="BR81" s="74" t="e">
        <f t="array" ref="BR81">_xlfn.STDEV.P(IF($E$5:$E$30=$E80,BR$5:BR$30))</f>
        <v>#DIV/0!</v>
      </c>
      <c r="BS81" s="74" t="e">
        <f t="array" ref="BS81">_xlfn.STDEV.P(IF($E$5:$E$30=$E80,BS$5:BS$30))</f>
        <v>#DIV/0!</v>
      </c>
      <c r="BT81" s="74" t="e">
        <f t="array" ref="BT81">_xlfn.STDEV.P(IF($E$5:$E$30=$E80,BT$5:BT$30))</f>
        <v>#DIV/0!</v>
      </c>
      <c r="BU81" s="74" t="e">
        <f t="array" ref="BU81">_xlfn.STDEV.P(IF($E$5:$E$30=$E80,BU$5:BU$30))</f>
        <v>#DIV/0!</v>
      </c>
      <c r="BV81" s="74" t="e">
        <f t="array" ref="BV81">_xlfn.STDEV.P(IF($E$5:$E$30=$E80,BV$5:BV$30))</f>
        <v>#DIV/0!</v>
      </c>
      <c r="BW81" s="74" t="e">
        <f t="array" ref="BW81">_xlfn.STDEV.P(IF($E$5:$E$30=$E80,BW$5:BW$30))</f>
        <v>#DIV/0!</v>
      </c>
      <c r="BX81" s="74" t="e">
        <f t="array" ref="BX81">_xlfn.STDEV.P(IF($E$5:$E$30=$E80,BX$5:BX$30))</f>
        <v>#DIV/0!</v>
      </c>
      <c r="BY81" s="74" t="e">
        <f t="array" ref="BY81">_xlfn.STDEV.P(IF($E$5:$E$30=$E80,BY$5:BY$30))</f>
        <v>#DIV/0!</v>
      </c>
      <c r="BZ81" s="74" t="e">
        <f t="array" ref="BZ81">_xlfn.STDEV.P(IF($E$5:$E$30=$E80,BZ$5:BZ$30))</f>
        <v>#DIV/0!</v>
      </c>
      <c r="CA81" s="74" t="e">
        <f t="array" ref="CA81">_xlfn.STDEV.P(IF($E$5:$E$30=$E80,CA$5:CA$30))</f>
        <v>#DIV/0!</v>
      </c>
      <c r="CB81" s="74" t="e">
        <f t="array" ref="CB81">_xlfn.STDEV.P(IF($E$5:$E$30=$E80,CB$5:CB$30))</f>
        <v>#DIV/0!</v>
      </c>
      <c r="CC81" s="74" t="e">
        <f t="array" ref="CC81">_xlfn.STDEV.P(IF($E$5:$E$30=$E80,CC$5:CC$30))</f>
        <v>#DIV/0!</v>
      </c>
      <c r="CD81" s="74" t="e">
        <f t="array" ref="CD81">_xlfn.STDEV.P(IF($E$5:$E$30=$E80,CD$5:CD$30))</f>
        <v>#DIV/0!</v>
      </c>
      <c r="CE81" s="74" t="e">
        <f t="array" ref="CE81">_xlfn.STDEV.P(IF($E$5:$E$30=$E80,CE$5:CE$30))</f>
        <v>#DIV/0!</v>
      </c>
      <c r="CF81" s="74" t="e">
        <f t="array" ref="CF81">_xlfn.STDEV.P(IF($E$5:$E$30=$E80,CF$5:CF$30))</f>
        <v>#DIV/0!</v>
      </c>
      <c r="CG81" s="74" t="e">
        <f t="array" ref="CG81">_xlfn.STDEV.P(IF($E$5:$E$30=$E80,CG$5:CG$30))</f>
        <v>#DIV/0!</v>
      </c>
      <c r="CH81" s="74" t="e">
        <f t="array" ref="CH81">_xlfn.STDEV.P(IF($E$5:$E$30=$E80,CH$5:CH$30))</f>
        <v>#DIV/0!</v>
      </c>
      <c r="CI81" s="74" t="e">
        <f t="array" ref="CI81">_xlfn.STDEV.P(IF($E$5:$E$30=$E80,CI$5:CI$30))</f>
        <v>#DIV/0!</v>
      </c>
      <c r="CJ81" s="74" t="e">
        <f t="array" ref="CJ81">_xlfn.STDEV.P(IF($E$5:$E$30=$E80,CJ$5:CJ$30))</f>
        <v>#DIV/0!</v>
      </c>
      <c r="CK81" s="74" t="e">
        <f t="array" ref="CK81">_xlfn.STDEV.P(IF($E$5:$E$30=$E80,CK$5:CK$30))</f>
        <v>#DIV/0!</v>
      </c>
      <c r="CL81" s="74" t="e">
        <f t="array" ref="CL81">_xlfn.STDEV.P(IF($E$5:$E$30=$E80,CL$5:CL$30))</f>
        <v>#DIV/0!</v>
      </c>
      <c r="CM81" s="74" t="e">
        <f t="array" ref="CM81">_xlfn.STDEV.P(IF($E$5:$E$30=$E80,CM$5:CM$30))</f>
        <v>#DIV/0!</v>
      </c>
      <c r="CN81" s="74" t="e">
        <f t="array" ref="CN81">_xlfn.STDEV.P(IF($E$5:$E$30=$E80,CN$5:CN$30))</f>
        <v>#DIV/0!</v>
      </c>
      <c r="CO81" s="74" t="e">
        <f t="array" ref="CO81">_xlfn.STDEV.P(IF($E$5:$E$30=$E80,CO$5:CO$30))</f>
        <v>#DIV/0!</v>
      </c>
      <c r="CP81" s="74" t="e">
        <f t="array" ref="CP81">_xlfn.STDEV.P(IF($E$5:$E$30=$E80,CP$5:CP$30))</f>
        <v>#DIV/0!</v>
      </c>
      <c r="CQ81" s="74" t="e">
        <f t="array" ref="CQ81">_xlfn.STDEV.P(IF($E$5:$E$30=$E80,CQ$5:CQ$30))</f>
        <v>#DIV/0!</v>
      </c>
      <c r="CR81" s="74" t="e">
        <f t="array" ref="CR81">_xlfn.STDEV.P(IF($E$5:$E$30=$E80,CR$5:CR$30))</f>
        <v>#DIV/0!</v>
      </c>
      <c r="CS81" s="74" t="e">
        <f t="array" ref="CS81">_xlfn.STDEV.P(IF($E$5:$E$30=$E80,CS$5:CS$30))</f>
        <v>#DIV/0!</v>
      </c>
      <c r="CT81" s="74" t="e">
        <f t="array" ref="CT81">_xlfn.STDEV.P(IF($E$5:$E$30=$E80,CT$5:CT$30))</f>
        <v>#DIV/0!</v>
      </c>
      <c r="CU81" s="74" t="e">
        <f t="array" ref="CU81">_xlfn.STDEV.P(IF($E$5:$E$30=$E80,CU$5:CU$30))</f>
        <v>#DIV/0!</v>
      </c>
      <c r="CV81" s="74" t="e">
        <f t="array" ref="CV81">_xlfn.STDEV.P(IF($E$5:$E$30=$E80,CV$5:CV$30))</f>
        <v>#DIV/0!</v>
      </c>
      <c r="CW81" s="76"/>
    </row>
  </sheetData>
  <autoFilter ref="A4:CV30" xr:uid="{00000000-0009-0000-0000-000001000000}">
    <sortState xmlns:xlrd2="http://schemas.microsoft.com/office/spreadsheetml/2017/richdata2" ref="A5:AW30">
      <sortCondition ref="B4:B30"/>
    </sortState>
  </autoFilter>
  <mergeCells count="3">
    <mergeCell ref="F2:H2"/>
    <mergeCell ref="I2:J2"/>
    <mergeCell ref="I32:I33"/>
  </mergeCells>
  <conditionalFormatting sqref="BE5:CV30">
    <cfRule type="cellIs" dxfId="5" priority="5" operator="between">
      <formula>0.85</formula>
      <formula>0.88</formula>
    </cfRule>
    <cfRule type="cellIs" dxfId="4" priority="6" operator="lessThan">
      <formula>0.85</formula>
    </cfRule>
  </conditionalFormatting>
  <dataValidations count="1">
    <dataValidation type="list" allowBlank="1" showInputMessage="1" showErrorMessage="1" sqref="E35:E1048576 E5:E30" xr:uid="{00000000-0002-0000-0100-000000000000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'FIG6 Groups'!$C$6:$C$21</xm:f>
          </x14:formula1>
          <xm:sqref>I35:I81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06"/>
  <sheetViews>
    <sheetView showGridLines="0" workbookViewId="0">
      <pane xSplit="5" ySplit="4" topLeftCell="F5" activePane="bottomRight" state="frozen"/>
      <selection activeCell="F13" sqref="F13"/>
      <selection pane="topRight" activeCell="F13" sqref="F13"/>
      <selection pane="bottomLeft" activeCell="F13" sqref="F13"/>
      <selection pane="bottomRight"/>
    </sheetView>
  </sheetViews>
  <sheetFormatPr defaultRowHeight="12.75" outlineLevelCol="1"/>
  <cols>
    <col min="1" max="1" width="9.85546875" style="54" bestFit="1" customWidth="1"/>
    <col min="2" max="2" width="9.140625" style="44"/>
    <col min="3" max="3" width="17.28515625" style="55" hidden="1" customWidth="1" outlineLevel="1"/>
    <col min="4" max="4" width="19" style="44" hidden="1" customWidth="1" outlineLevel="1"/>
    <col min="5" max="5" width="17.5703125" style="53" customWidth="1" collapsed="1"/>
    <col min="6" max="6" width="10.28515625" style="56" customWidth="1"/>
    <col min="7" max="7" width="10.7109375" style="214" customWidth="1"/>
    <col min="8" max="8" width="8.7109375" style="79" hidden="1" customWidth="1" outlineLevel="1"/>
    <col min="9" max="9" width="14.85546875" style="56" customWidth="1" collapsed="1"/>
    <col min="10" max="10" width="10.42578125" style="57" customWidth="1" outlineLevel="1"/>
    <col min="11" max="11" width="10.42578125" style="44" customWidth="1"/>
    <col min="12" max="13" width="8.5703125" style="44" customWidth="1"/>
    <col min="14" max="32" width="8.5703125" style="44" customWidth="1" outlineLevel="1"/>
    <col min="33" max="33" width="14.140625" style="45" customWidth="1"/>
    <col min="34" max="35" width="8.5703125" style="44" customWidth="1"/>
    <col min="36" max="54" width="8.5703125" style="44" customWidth="1" outlineLevel="1"/>
    <col min="55" max="16384" width="9.140625" style="53"/>
  </cols>
  <sheetData>
    <row r="1" spans="1:55" s="7" customFormat="1" ht="25.5">
      <c r="A1" s="6" t="s">
        <v>83</v>
      </c>
      <c r="C1" s="8"/>
      <c r="D1" s="9"/>
      <c r="F1" s="10"/>
      <c r="G1" s="208"/>
      <c r="H1" s="215"/>
      <c r="I1" s="10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3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5" s="50" customFormat="1" ht="15.75" customHeight="1">
      <c r="A2" s="122" t="s">
        <v>31</v>
      </c>
      <c r="B2" s="14"/>
      <c r="C2" s="15"/>
      <c r="D2" s="14"/>
      <c r="E2" s="16"/>
      <c r="F2" s="250" t="s">
        <v>12</v>
      </c>
      <c r="G2" s="251"/>
      <c r="H2" s="251"/>
      <c r="I2" s="250" t="s">
        <v>0</v>
      </c>
      <c r="J2" s="251"/>
      <c r="K2" s="17"/>
      <c r="L2" s="122" t="s">
        <v>33</v>
      </c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6"/>
      <c r="AG2" s="48"/>
      <c r="AH2" s="122" t="s">
        <v>54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6"/>
      <c r="BC2" s="49"/>
    </row>
    <row r="3" spans="1:55" s="64" customFormat="1" ht="15.75">
      <c r="A3" s="59"/>
      <c r="B3" s="60"/>
      <c r="C3" s="61"/>
      <c r="D3" s="60"/>
      <c r="E3" s="62"/>
      <c r="F3" s="206"/>
      <c r="G3" s="207"/>
      <c r="H3" s="207"/>
      <c r="I3" s="228"/>
      <c r="J3" s="220"/>
      <c r="K3" s="190" t="s">
        <v>13</v>
      </c>
      <c r="L3" s="97">
        <v>42861</v>
      </c>
      <c r="M3" s="97">
        <v>42862</v>
      </c>
      <c r="N3" s="97">
        <v>42863</v>
      </c>
      <c r="O3" s="97">
        <v>42865</v>
      </c>
      <c r="P3" s="97">
        <v>42868</v>
      </c>
      <c r="Q3" s="97">
        <v>42870</v>
      </c>
      <c r="R3" s="97">
        <v>42872</v>
      </c>
      <c r="S3" s="97">
        <v>42877</v>
      </c>
      <c r="T3" s="97">
        <v>42879</v>
      </c>
      <c r="U3" s="97">
        <v>42881</v>
      </c>
      <c r="V3" s="97">
        <v>42884</v>
      </c>
      <c r="W3" s="97">
        <v>42888</v>
      </c>
      <c r="X3" s="97"/>
      <c r="Y3" s="97"/>
      <c r="Z3" s="97"/>
      <c r="AA3" s="97"/>
      <c r="AB3" s="97"/>
      <c r="AC3" s="97"/>
      <c r="AD3" s="97"/>
      <c r="AE3" s="97"/>
      <c r="AF3" s="97"/>
      <c r="AG3" s="190" t="s">
        <v>58</v>
      </c>
      <c r="AH3" s="97">
        <f>IF(ISBLANK(L3)=TRUE,"",L3)</f>
        <v>42861</v>
      </c>
      <c r="AI3" s="97">
        <f t="shared" ref="AI3:AX4" si="0">IF(ISBLANK(M3)=TRUE,"",M3)</f>
        <v>42862</v>
      </c>
      <c r="AJ3" s="97">
        <f t="shared" si="0"/>
        <v>42863</v>
      </c>
      <c r="AK3" s="97">
        <f t="shared" si="0"/>
        <v>42865</v>
      </c>
      <c r="AL3" s="97">
        <f t="shared" si="0"/>
        <v>42868</v>
      </c>
      <c r="AM3" s="97">
        <f t="shared" si="0"/>
        <v>42870</v>
      </c>
      <c r="AN3" s="97">
        <f t="shared" si="0"/>
        <v>42872</v>
      </c>
      <c r="AO3" s="97">
        <f t="shared" si="0"/>
        <v>42877</v>
      </c>
      <c r="AP3" s="97">
        <f t="shared" si="0"/>
        <v>42879</v>
      </c>
      <c r="AQ3" s="97">
        <f t="shared" si="0"/>
        <v>42881</v>
      </c>
      <c r="AR3" s="97">
        <f t="shared" si="0"/>
        <v>42884</v>
      </c>
      <c r="AS3" s="97">
        <f t="shared" si="0"/>
        <v>42888</v>
      </c>
      <c r="AT3" s="97" t="str">
        <f t="shared" si="0"/>
        <v/>
      </c>
      <c r="AU3" s="97" t="str">
        <f t="shared" si="0"/>
        <v/>
      </c>
      <c r="AV3" s="97" t="str">
        <f t="shared" si="0"/>
        <v/>
      </c>
      <c r="AW3" s="97" t="str">
        <f t="shared" si="0"/>
        <v/>
      </c>
      <c r="AX3" s="97" t="str">
        <f t="shared" si="0"/>
        <v/>
      </c>
      <c r="AY3" s="97" t="str">
        <f t="shared" ref="AY3:BB4" si="1">IF(ISBLANK(AC3)=TRUE,"",AC3)</f>
        <v/>
      </c>
      <c r="AZ3" s="97" t="str">
        <f t="shared" si="1"/>
        <v/>
      </c>
      <c r="BA3" s="97" t="str">
        <f t="shared" si="1"/>
        <v/>
      </c>
      <c r="BB3" s="97" t="str">
        <f t="shared" si="1"/>
        <v/>
      </c>
      <c r="BC3" s="63"/>
    </row>
    <row r="4" spans="1:55" s="52" customFormat="1" ht="15.75" customHeight="1">
      <c r="A4" s="18" t="s">
        <v>5</v>
      </c>
      <c r="B4" s="19" t="s">
        <v>6</v>
      </c>
      <c r="C4" s="20" t="s">
        <v>7</v>
      </c>
      <c r="D4" s="18" t="s">
        <v>14</v>
      </c>
      <c r="E4" s="21" t="s">
        <v>10</v>
      </c>
      <c r="F4" s="22" t="s">
        <v>1</v>
      </c>
      <c r="G4" s="225" t="s">
        <v>69</v>
      </c>
      <c r="H4" s="226" t="s">
        <v>2</v>
      </c>
      <c r="I4" s="22" t="s">
        <v>1</v>
      </c>
      <c r="J4" s="23" t="s">
        <v>32</v>
      </c>
      <c r="K4" s="202" t="s">
        <v>8</v>
      </c>
      <c r="L4" s="185">
        <f>IF(ISBLANK(L3)=TRUE,"",L3-$I$5)</f>
        <v>0</v>
      </c>
      <c r="M4" s="185">
        <f t="shared" ref="M4:W4" si="2">IF(ISBLANK(M3)=TRUE,"",M3-$I$5)</f>
        <v>1</v>
      </c>
      <c r="N4" s="185">
        <f t="shared" si="2"/>
        <v>2</v>
      </c>
      <c r="O4" s="185">
        <f t="shared" si="2"/>
        <v>4</v>
      </c>
      <c r="P4" s="185">
        <f t="shared" si="2"/>
        <v>7</v>
      </c>
      <c r="Q4" s="185">
        <f t="shared" si="2"/>
        <v>9</v>
      </c>
      <c r="R4" s="185">
        <f t="shared" si="2"/>
        <v>11</v>
      </c>
      <c r="S4" s="185">
        <f t="shared" si="2"/>
        <v>16</v>
      </c>
      <c r="T4" s="185">
        <f t="shared" si="2"/>
        <v>18</v>
      </c>
      <c r="U4" s="185">
        <f t="shared" si="2"/>
        <v>20</v>
      </c>
      <c r="V4" s="185">
        <f t="shared" si="2"/>
        <v>23</v>
      </c>
      <c r="W4" s="185">
        <f t="shared" si="2"/>
        <v>27</v>
      </c>
      <c r="X4" s="185" t="str">
        <f>IF(ISBLANK(X3)=TRUE,"",X3-#REF!)</f>
        <v/>
      </c>
      <c r="Y4" s="185" t="str">
        <f>IF(ISBLANK(Y3)=TRUE,"",Y3-#REF!)</f>
        <v/>
      </c>
      <c r="Z4" s="185" t="str">
        <f>IF(ISBLANK(Z3)=TRUE,"",Z3-#REF!)</f>
        <v/>
      </c>
      <c r="AA4" s="185" t="str">
        <f>IF(ISBLANK(AA3)=TRUE,"",AA3-#REF!)</f>
        <v/>
      </c>
      <c r="AB4" s="185" t="str">
        <f>IF(ISBLANK(AB3)=TRUE,"",AB3-#REF!)</f>
        <v/>
      </c>
      <c r="AC4" s="185" t="str">
        <f>IF(ISBLANK(AC3)=TRUE,"",AC3-#REF!)</f>
        <v/>
      </c>
      <c r="AD4" s="185" t="str">
        <f>IF(ISBLANK(AD3)=TRUE,"",AD3-#REF!)</f>
        <v/>
      </c>
      <c r="AE4" s="185" t="str">
        <f>IF(ISBLANK(AE3)=TRUE,"",AE3-#REF!)</f>
        <v/>
      </c>
      <c r="AF4" s="185" t="str">
        <f>IF(ISBLANK(AF3)=TRUE,"",AF3-#REF!)</f>
        <v/>
      </c>
      <c r="AG4" s="202" t="s">
        <v>57</v>
      </c>
      <c r="AH4" s="185">
        <f>IF(ISBLANK(L4)=TRUE,"",L4)</f>
        <v>0</v>
      </c>
      <c r="AI4" s="185">
        <f t="shared" si="0"/>
        <v>1</v>
      </c>
      <c r="AJ4" s="185">
        <f t="shared" si="0"/>
        <v>2</v>
      </c>
      <c r="AK4" s="185">
        <f t="shared" si="0"/>
        <v>4</v>
      </c>
      <c r="AL4" s="185">
        <f t="shared" si="0"/>
        <v>7</v>
      </c>
      <c r="AM4" s="185">
        <f t="shared" si="0"/>
        <v>9</v>
      </c>
      <c r="AN4" s="185">
        <f t="shared" si="0"/>
        <v>11</v>
      </c>
      <c r="AO4" s="185">
        <f t="shared" si="0"/>
        <v>16</v>
      </c>
      <c r="AP4" s="185">
        <f t="shared" si="0"/>
        <v>18</v>
      </c>
      <c r="AQ4" s="185">
        <f t="shared" si="0"/>
        <v>20</v>
      </c>
      <c r="AR4" s="185">
        <f t="shared" si="0"/>
        <v>23</v>
      </c>
      <c r="AS4" s="185">
        <f t="shared" si="0"/>
        <v>27</v>
      </c>
      <c r="AT4" s="185" t="str">
        <f t="shared" si="0"/>
        <v/>
      </c>
      <c r="AU4" s="185" t="str">
        <f t="shared" si="0"/>
        <v/>
      </c>
      <c r="AV4" s="185" t="str">
        <f t="shared" si="0"/>
        <v/>
      </c>
      <c r="AW4" s="185" t="str">
        <f t="shared" si="0"/>
        <v/>
      </c>
      <c r="AX4" s="185" t="str">
        <f t="shared" si="0"/>
        <v/>
      </c>
      <c r="AY4" s="185" t="str">
        <f t="shared" si="1"/>
        <v/>
      </c>
      <c r="AZ4" s="185" t="str">
        <f t="shared" si="1"/>
        <v/>
      </c>
      <c r="BA4" s="185" t="str">
        <f t="shared" si="1"/>
        <v/>
      </c>
      <c r="BB4" s="185" t="str">
        <f t="shared" si="1"/>
        <v/>
      </c>
      <c r="BC4" s="51"/>
    </row>
    <row r="5" spans="1:55">
      <c r="A5" s="37">
        <v>1066032</v>
      </c>
      <c r="B5" s="1">
        <v>55</v>
      </c>
      <c r="C5" s="27"/>
      <c r="D5" s="26"/>
      <c r="E5" s="34" t="s">
        <v>62</v>
      </c>
      <c r="F5" s="29">
        <v>42850</v>
      </c>
      <c r="G5" s="210" t="s">
        <v>67</v>
      </c>
      <c r="H5" s="83">
        <v>26.6</v>
      </c>
      <c r="I5" s="29">
        <v>42861</v>
      </c>
      <c r="J5" s="35">
        <v>0</v>
      </c>
      <c r="K5" s="36"/>
      <c r="L5" s="78">
        <v>0</v>
      </c>
      <c r="M5" s="83">
        <v>0</v>
      </c>
      <c r="N5" s="83">
        <v>0</v>
      </c>
      <c r="O5" s="83">
        <v>0</v>
      </c>
      <c r="P5" s="83">
        <v>0</v>
      </c>
      <c r="Q5" s="83">
        <v>0</v>
      </c>
      <c r="R5" s="83">
        <v>0</v>
      </c>
      <c r="S5" s="83">
        <v>0</v>
      </c>
      <c r="T5" s="83">
        <v>0</v>
      </c>
      <c r="U5" s="83">
        <v>0</v>
      </c>
      <c r="V5" s="83">
        <v>0</v>
      </c>
      <c r="W5" s="83">
        <v>0</v>
      </c>
      <c r="X5" s="83"/>
      <c r="Y5" s="83"/>
      <c r="Z5" s="83"/>
      <c r="AA5" s="83"/>
      <c r="AB5" s="83"/>
      <c r="AC5" s="83"/>
      <c r="AD5" s="83"/>
      <c r="AE5" s="83"/>
      <c r="AF5" s="83"/>
      <c r="AG5" s="2"/>
      <c r="AH5" s="73" t="str">
        <f t="shared" ref="AH5:AH12" si="3">IF(OR(ISERROR(L5/$J5)=TRUE,ISBLANK(L5)=TRUE),"",L5/$J5)</f>
        <v/>
      </c>
      <c r="AI5" s="73" t="str">
        <f t="shared" ref="AI5:AI12" si="4">IF(OR(ISERROR(M5/$J5)=TRUE,ISBLANK(M5)=TRUE),"",M5/$J5)</f>
        <v/>
      </c>
      <c r="AJ5" s="73" t="str">
        <f t="shared" ref="AJ5:AJ12" si="5">IF(OR(ISERROR(N5/$J5)=TRUE,ISBLANK(N5)=TRUE),"",N5/$J5)</f>
        <v/>
      </c>
      <c r="AK5" s="73" t="str">
        <f t="shared" ref="AK5:AK12" si="6">IF(OR(ISERROR(O5/$J5)=TRUE,ISBLANK(O5)=TRUE),"",O5/$J5)</f>
        <v/>
      </c>
      <c r="AL5" s="73" t="str">
        <f t="shared" ref="AL5:AL12" si="7">IF(OR(ISERROR(P5/$J5)=TRUE,ISBLANK(P5)=TRUE),"",P5/$J5)</f>
        <v/>
      </c>
      <c r="AM5" s="73" t="str">
        <f t="shared" ref="AM5:AM12" si="8">IF(OR(ISERROR(Q5/$J5)=TRUE,ISBLANK(Q5)=TRUE),"",Q5/$J5)</f>
        <v/>
      </c>
      <c r="AN5" s="73" t="str">
        <f t="shared" ref="AN5:AN12" si="9">IF(OR(ISERROR(R5/$J5)=TRUE,ISBLANK(R5)=TRUE),"",R5/$J5)</f>
        <v/>
      </c>
      <c r="AO5" s="73" t="str">
        <f t="shared" ref="AO5:AO12" si="10">IF(OR(ISERROR(S5/$J5)=TRUE,ISBLANK(S5)=TRUE),"",S5/$J5)</f>
        <v/>
      </c>
      <c r="AP5" s="73" t="str">
        <f t="shared" ref="AP5:AP12" si="11">IF(OR(ISERROR(T5/$J5)=TRUE,ISBLANK(T5)=TRUE),"",T5/$J5)</f>
        <v/>
      </c>
      <c r="AQ5" s="73" t="str">
        <f t="shared" ref="AQ5:AQ12" si="12">IF(OR(ISERROR(U5/$J5)=TRUE,ISBLANK(U5)=TRUE),"",U5/$J5)</f>
        <v/>
      </c>
      <c r="AR5" s="73" t="str">
        <f t="shared" ref="AR5:AR12" si="13">IF(OR(ISERROR(V5/$J5)=TRUE,ISBLANK(V5)=TRUE),"",V5/$J5)</f>
        <v/>
      </c>
      <c r="AS5" s="73" t="str">
        <f t="shared" ref="AS5:AS12" si="14">IF(OR(ISERROR(W5/$J5)=TRUE,ISBLANK(W5)=TRUE),"",W5/$J5)</f>
        <v/>
      </c>
      <c r="AT5" s="73" t="str">
        <f t="shared" ref="AT5:AT12" si="15">IF(OR(ISERROR(X5/$J5)=TRUE,ISBLANK(X5)=TRUE),"",X5/$J5)</f>
        <v/>
      </c>
      <c r="AU5" s="73" t="str">
        <f t="shared" ref="AU5:AU12" si="16">IF(OR(ISERROR(Y5/$J5)=TRUE,ISBLANK(Y5)=TRUE),"",Y5/$J5)</f>
        <v/>
      </c>
      <c r="AV5" s="73" t="str">
        <f t="shared" ref="AV5:AV12" si="17">IF(OR(ISERROR(Z5/$J5)=TRUE,ISBLANK(Z5)=TRUE),"",Z5/$J5)</f>
        <v/>
      </c>
      <c r="AW5" s="73" t="str">
        <f t="shared" ref="AW5:AW12" si="18">IF(OR(ISERROR(AA5/$J5)=TRUE,ISBLANK(AA5)=TRUE),"",AA5/$J5)</f>
        <v/>
      </c>
      <c r="AX5" s="73" t="str">
        <f t="shared" ref="AX5:AX12" si="19">IF(OR(ISERROR(AB5/$J5)=TRUE,ISBLANK(AB5)=TRUE),"",AB5/$J5)</f>
        <v/>
      </c>
      <c r="AY5" s="73" t="str">
        <f t="shared" ref="AY5:BA7" si="20">IF(OR(ISERROR(AC5/$J5)=TRUE,ISBLANK(AC5)=TRUE),"",AC5/$J5)</f>
        <v/>
      </c>
      <c r="AZ5" s="73" t="str">
        <f t="shared" si="20"/>
        <v/>
      </c>
      <c r="BA5" s="73" t="str">
        <f t="shared" si="20"/>
        <v/>
      </c>
      <c r="BB5" s="73" t="str">
        <f t="shared" ref="BB5:BB20" si="21">IF(OR(ISERROR(AF5/$J5)=TRUE,ISBLANK(AF5)=TRUE),"",AF5/$J5)</f>
        <v/>
      </c>
      <c r="BC5" s="3"/>
    </row>
    <row r="6" spans="1:55">
      <c r="A6" s="37">
        <v>1066023</v>
      </c>
      <c r="B6" s="1">
        <v>61</v>
      </c>
      <c r="C6" s="27"/>
      <c r="D6" s="26"/>
      <c r="E6" s="34" t="s">
        <v>62</v>
      </c>
      <c r="F6" s="29">
        <v>42850</v>
      </c>
      <c r="G6" s="210" t="s">
        <v>67</v>
      </c>
      <c r="H6" s="83">
        <v>27.5</v>
      </c>
      <c r="I6" s="29">
        <v>42861</v>
      </c>
      <c r="J6" s="35">
        <v>0</v>
      </c>
      <c r="K6" s="36"/>
      <c r="L6" s="78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0</v>
      </c>
      <c r="V6" s="83">
        <v>0</v>
      </c>
      <c r="W6" s="83">
        <v>0</v>
      </c>
      <c r="X6" s="83"/>
      <c r="Y6" s="83"/>
      <c r="Z6" s="83"/>
      <c r="AA6" s="83"/>
      <c r="AB6" s="83"/>
      <c r="AC6" s="83"/>
      <c r="AD6" s="83"/>
      <c r="AE6" s="83"/>
      <c r="AF6" s="83"/>
      <c r="AG6" s="2"/>
      <c r="AH6" s="73" t="str">
        <f t="shared" si="3"/>
        <v/>
      </c>
      <c r="AI6" s="73" t="str">
        <f t="shared" si="4"/>
        <v/>
      </c>
      <c r="AJ6" s="73" t="str">
        <f t="shared" si="5"/>
        <v/>
      </c>
      <c r="AK6" s="73" t="str">
        <f t="shared" si="6"/>
        <v/>
      </c>
      <c r="AL6" s="73" t="str">
        <f t="shared" si="7"/>
        <v/>
      </c>
      <c r="AM6" s="73" t="str">
        <f t="shared" si="8"/>
        <v/>
      </c>
      <c r="AN6" s="73" t="str">
        <f t="shared" si="9"/>
        <v/>
      </c>
      <c r="AO6" s="73" t="str">
        <f t="shared" si="10"/>
        <v/>
      </c>
      <c r="AP6" s="73" t="str">
        <f t="shared" si="11"/>
        <v/>
      </c>
      <c r="AQ6" s="73" t="str">
        <f t="shared" si="12"/>
        <v/>
      </c>
      <c r="AR6" s="73" t="str">
        <f t="shared" si="13"/>
        <v/>
      </c>
      <c r="AS6" s="73" t="str">
        <f t="shared" si="14"/>
        <v/>
      </c>
      <c r="AT6" s="73" t="str">
        <f t="shared" si="15"/>
        <v/>
      </c>
      <c r="AU6" s="73" t="str">
        <f t="shared" si="16"/>
        <v/>
      </c>
      <c r="AV6" s="73" t="str">
        <f t="shared" si="17"/>
        <v/>
      </c>
      <c r="AW6" s="73" t="str">
        <f t="shared" si="18"/>
        <v/>
      </c>
      <c r="AX6" s="73" t="str">
        <f t="shared" si="19"/>
        <v/>
      </c>
      <c r="AY6" s="73" t="str">
        <f t="shared" si="20"/>
        <v/>
      </c>
      <c r="AZ6" s="73" t="str">
        <f t="shared" si="20"/>
        <v/>
      </c>
      <c r="BA6" s="73" t="str">
        <f t="shared" si="20"/>
        <v/>
      </c>
      <c r="BB6" s="73" t="str">
        <f t="shared" si="21"/>
        <v/>
      </c>
      <c r="BC6" s="3"/>
    </row>
    <row r="7" spans="1:55">
      <c r="A7" s="37">
        <v>1066023</v>
      </c>
      <c r="B7" s="1">
        <v>62</v>
      </c>
      <c r="C7" s="27"/>
      <c r="D7" s="26"/>
      <c r="E7" s="34" t="s">
        <v>63</v>
      </c>
      <c r="F7" s="29">
        <v>42850</v>
      </c>
      <c r="G7" s="210" t="s">
        <v>67</v>
      </c>
      <c r="H7" s="83">
        <v>24.1</v>
      </c>
      <c r="I7" s="29">
        <v>42861</v>
      </c>
      <c r="J7" s="35">
        <v>687</v>
      </c>
      <c r="K7" s="36"/>
      <c r="L7" s="78">
        <v>687</v>
      </c>
      <c r="M7" s="83">
        <v>474</v>
      </c>
      <c r="N7" s="83">
        <v>413</v>
      </c>
      <c r="O7" s="83">
        <v>340</v>
      </c>
      <c r="P7" s="83">
        <v>240</v>
      </c>
      <c r="Q7" s="83">
        <v>198</v>
      </c>
      <c r="R7" s="83">
        <v>166</v>
      </c>
      <c r="S7" s="83">
        <v>113</v>
      </c>
      <c r="T7" s="83">
        <v>90</v>
      </c>
      <c r="U7" s="83">
        <v>80</v>
      </c>
      <c r="V7" s="83">
        <v>56</v>
      </c>
      <c r="W7" s="83">
        <v>36.6</v>
      </c>
      <c r="X7" s="83"/>
      <c r="Y7" s="83"/>
      <c r="Z7" s="83"/>
      <c r="AA7" s="83"/>
      <c r="AB7" s="83"/>
      <c r="AC7" s="83"/>
      <c r="AD7" s="83"/>
      <c r="AE7" s="83"/>
      <c r="AF7" s="83"/>
      <c r="AG7" s="2"/>
      <c r="AH7" s="73">
        <f t="shared" si="3"/>
        <v>1</v>
      </c>
      <c r="AI7" s="73">
        <f t="shared" si="4"/>
        <v>0.68995633187772931</v>
      </c>
      <c r="AJ7" s="73">
        <f t="shared" si="5"/>
        <v>0.60116448326055316</v>
      </c>
      <c r="AK7" s="73">
        <f t="shared" si="6"/>
        <v>0.49490538573508008</v>
      </c>
      <c r="AL7" s="73">
        <f t="shared" si="7"/>
        <v>0.34934497816593885</v>
      </c>
      <c r="AM7" s="73">
        <f t="shared" si="8"/>
        <v>0.28820960698689957</v>
      </c>
      <c r="AN7" s="73">
        <f t="shared" si="9"/>
        <v>0.24163027656477437</v>
      </c>
      <c r="AO7" s="73">
        <f t="shared" si="10"/>
        <v>0.16448326055312956</v>
      </c>
      <c r="AP7" s="73">
        <f t="shared" si="11"/>
        <v>0.13100436681222707</v>
      </c>
      <c r="AQ7" s="73">
        <f t="shared" si="12"/>
        <v>0.11644832605531295</v>
      </c>
      <c r="AR7" s="73">
        <f t="shared" si="13"/>
        <v>8.1513828238719069E-2</v>
      </c>
      <c r="AS7" s="73">
        <f t="shared" si="14"/>
        <v>5.327510917030568E-2</v>
      </c>
      <c r="AT7" s="73" t="str">
        <f t="shared" si="15"/>
        <v/>
      </c>
      <c r="AU7" s="73" t="str">
        <f t="shared" si="16"/>
        <v/>
      </c>
      <c r="AV7" s="73" t="str">
        <f t="shared" si="17"/>
        <v/>
      </c>
      <c r="AW7" s="73" t="str">
        <f t="shared" si="18"/>
        <v/>
      </c>
      <c r="AX7" s="73" t="str">
        <f t="shared" si="19"/>
        <v/>
      </c>
      <c r="AY7" s="73" t="str">
        <f t="shared" si="20"/>
        <v/>
      </c>
      <c r="AZ7" s="73" t="str">
        <f t="shared" si="20"/>
        <v/>
      </c>
      <c r="BA7" s="73" t="str">
        <f t="shared" si="20"/>
        <v/>
      </c>
      <c r="BB7" s="73" t="str">
        <f t="shared" si="21"/>
        <v/>
      </c>
      <c r="BC7" s="3"/>
    </row>
    <row r="8" spans="1:55">
      <c r="A8" s="37">
        <v>1066023</v>
      </c>
      <c r="B8" s="1">
        <v>63</v>
      </c>
      <c r="C8" s="27"/>
      <c r="D8" s="26"/>
      <c r="E8" s="34" t="s">
        <v>63</v>
      </c>
      <c r="F8" s="29">
        <v>42850</v>
      </c>
      <c r="G8" s="210" t="s">
        <v>67</v>
      </c>
      <c r="H8" s="83">
        <v>26.8</v>
      </c>
      <c r="I8" s="29">
        <v>42861</v>
      </c>
      <c r="J8" s="35">
        <v>694</v>
      </c>
      <c r="K8" s="36"/>
      <c r="L8" s="78">
        <v>694</v>
      </c>
      <c r="M8" s="83">
        <v>512</v>
      </c>
      <c r="N8" s="83">
        <v>445</v>
      </c>
      <c r="O8" s="83">
        <v>351</v>
      </c>
      <c r="P8" s="83">
        <v>260</v>
      </c>
      <c r="Q8" s="83">
        <v>206</v>
      </c>
      <c r="R8" s="83">
        <v>173</v>
      </c>
      <c r="S8" s="83">
        <v>112</v>
      </c>
      <c r="T8" s="83">
        <v>94</v>
      </c>
      <c r="U8" s="83">
        <v>82</v>
      </c>
      <c r="V8" s="83">
        <v>56</v>
      </c>
      <c r="W8" s="83">
        <v>38.799999999999997</v>
      </c>
      <c r="X8" s="83"/>
      <c r="Y8" s="83"/>
      <c r="Z8" s="83"/>
      <c r="AA8" s="83"/>
      <c r="AB8" s="83"/>
      <c r="AC8" s="83"/>
      <c r="AD8" s="83"/>
      <c r="AE8" s="83"/>
      <c r="AF8" s="83"/>
      <c r="AG8" s="2"/>
      <c r="AH8" s="73">
        <f t="shared" si="3"/>
        <v>1</v>
      </c>
      <c r="AI8" s="73">
        <f t="shared" si="4"/>
        <v>0.73775216138328525</v>
      </c>
      <c r="AJ8" s="73">
        <f t="shared" si="5"/>
        <v>0.64121037463976949</v>
      </c>
      <c r="AK8" s="73">
        <f t="shared" si="6"/>
        <v>0.50576368876080691</v>
      </c>
      <c r="AL8" s="73">
        <f t="shared" si="7"/>
        <v>0.37463976945244959</v>
      </c>
      <c r="AM8" s="73">
        <f t="shared" si="8"/>
        <v>0.29682997118155618</v>
      </c>
      <c r="AN8" s="73">
        <f t="shared" si="9"/>
        <v>0.24927953890489912</v>
      </c>
      <c r="AO8" s="73">
        <f t="shared" si="10"/>
        <v>0.16138328530259366</v>
      </c>
      <c r="AP8" s="73">
        <f t="shared" si="11"/>
        <v>0.13544668587896252</v>
      </c>
      <c r="AQ8" s="73">
        <f t="shared" si="12"/>
        <v>0.11815561959654179</v>
      </c>
      <c r="AR8" s="73">
        <f t="shared" si="13"/>
        <v>8.069164265129683E-2</v>
      </c>
      <c r="AS8" s="73">
        <f t="shared" si="14"/>
        <v>5.5907780979827085E-2</v>
      </c>
      <c r="AT8" s="73" t="str">
        <f t="shared" si="15"/>
        <v/>
      </c>
      <c r="AU8" s="73" t="str">
        <f t="shared" si="16"/>
        <v/>
      </c>
      <c r="AV8" s="73" t="str">
        <f t="shared" si="17"/>
        <v/>
      </c>
      <c r="AW8" s="73" t="str">
        <f t="shared" si="18"/>
        <v/>
      </c>
      <c r="AX8" s="73" t="str">
        <f t="shared" si="19"/>
        <v/>
      </c>
      <c r="AY8" s="73"/>
      <c r="AZ8" s="73"/>
      <c r="BA8" s="73" t="str">
        <f>IF(OR(ISERROR(AC8/$J8)=TRUE,ISBLANK(AC8)=TRUE),"",AC8/$J8)</f>
        <v/>
      </c>
      <c r="BB8" s="73" t="str">
        <f t="shared" si="21"/>
        <v/>
      </c>
      <c r="BC8" s="3"/>
    </row>
    <row r="9" spans="1:55">
      <c r="A9" s="37">
        <v>1066023</v>
      </c>
      <c r="B9" s="1">
        <v>64</v>
      </c>
      <c r="C9" s="27"/>
      <c r="D9" s="26"/>
      <c r="E9" s="34" t="s">
        <v>63</v>
      </c>
      <c r="F9" s="29">
        <v>42850</v>
      </c>
      <c r="G9" s="210" t="s">
        <v>67</v>
      </c>
      <c r="H9" s="83">
        <v>30.2</v>
      </c>
      <c r="I9" s="29">
        <v>42861</v>
      </c>
      <c r="J9" s="35">
        <v>1715</v>
      </c>
      <c r="K9" s="36"/>
      <c r="L9" s="78">
        <v>1715</v>
      </c>
      <c r="M9" s="83">
        <v>1363</v>
      </c>
      <c r="N9" s="83">
        <v>1185</v>
      </c>
      <c r="O9" s="83">
        <v>909</v>
      </c>
      <c r="P9" s="83">
        <v>629</v>
      </c>
      <c r="Q9" s="83">
        <v>506</v>
      </c>
      <c r="R9" s="83">
        <v>414</v>
      </c>
      <c r="S9" s="83">
        <v>259</v>
      </c>
      <c r="T9" s="83">
        <v>214</v>
      </c>
      <c r="U9" s="83">
        <v>177</v>
      </c>
      <c r="V9" s="83">
        <v>138</v>
      </c>
      <c r="W9" s="83">
        <v>93.4</v>
      </c>
      <c r="X9" s="83"/>
      <c r="Y9" s="83"/>
      <c r="Z9" s="83"/>
      <c r="AA9" s="83"/>
      <c r="AB9" s="83"/>
      <c r="AC9" s="83"/>
      <c r="AD9" s="83"/>
      <c r="AE9" s="83"/>
      <c r="AF9" s="83"/>
      <c r="AG9" s="2"/>
      <c r="AH9" s="73">
        <f t="shared" si="3"/>
        <v>1</v>
      </c>
      <c r="AI9" s="73">
        <f t="shared" si="4"/>
        <v>0.79475218658892133</v>
      </c>
      <c r="AJ9" s="73">
        <f t="shared" si="5"/>
        <v>0.69096209912536444</v>
      </c>
      <c r="AK9" s="73">
        <f t="shared" si="6"/>
        <v>0.53002915451895039</v>
      </c>
      <c r="AL9" s="73">
        <f t="shared" si="7"/>
        <v>0.36676384839650145</v>
      </c>
      <c r="AM9" s="73">
        <f t="shared" si="8"/>
        <v>0.29504373177842563</v>
      </c>
      <c r="AN9" s="73">
        <f t="shared" si="9"/>
        <v>0.241399416909621</v>
      </c>
      <c r="AO9" s="73">
        <f t="shared" si="10"/>
        <v>0.15102040816326531</v>
      </c>
      <c r="AP9" s="73">
        <f t="shared" si="11"/>
        <v>0.12478134110787172</v>
      </c>
      <c r="AQ9" s="73">
        <f t="shared" si="12"/>
        <v>0.1032069970845481</v>
      </c>
      <c r="AR9" s="73">
        <f t="shared" si="13"/>
        <v>8.0466472303206998E-2</v>
      </c>
      <c r="AS9" s="73">
        <f t="shared" si="14"/>
        <v>5.4460641399416913E-2</v>
      </c>
      <c r="AT9" s="73" t="str">
        <f t="shared" si="15"/>
        <v/>
      </c>
      <c r="AU9" s="73" t="str">
        <f t="shared" si="16"/>
        <v/>
      </c>
      <c r="AV9" s="73" t="str">
        <f t="shared" si="17"/>
        <v/>
      </c>
      <c r="AW9" s="73" t="str">
        <f t="shared" si="18"/>
        <v/>
      </c>
      <c r="AX9" s="73" t="str">
        <f t="shared" si="19"/>
        <v/>
      </c>
      <c r="AY9" s="73" t="str">
        <f t="shared" ref="AY9:BA10" si="22">IF(OR(ISERROR(AC9/$J9)=TRUE,ISBLANK(AC9)=TRUE),"",AC9/$J9)</f>
        <v/>
      </c>
      <c r="AZ9" s="73" t="str">
        <f t="shared" si="22"/>
        <v/>
      </c>
      <c r="BA9" s="73" t="str">
        <f t="shared" si="22"/>
        <v/>
      </c>
      <c r="BB9" s="73" t="str">
        <f t="shared" si="21"/>
        <v/>
      </c>
      <c r="BC9" s="3"/>
    </row>
    <row r="10" spans="1:55">
      <c r="A10" s="37">
        <v>1066023</v>
      </c>
      <c r="B10" s="1">
        <v>65</v>
      </c>
      <c r="C10" s="27"/>
      <c r="D10" s="26"/>
      <c r="E10" s="34" t="s">
        <v>62</v>
      </c>
      <c r="F10" s="29">
        <v>42850</v>
      </c>
      <c r="G10" s="210" t="s">
        <v>67</v>
      </c>
      <c r="H10" s="83">
        <v>23.4</v>
      </c>
      <c r="I10" s="29">
        <v>42861</v>
      </c>
      <c r="J10" s="35">
        <v>0</v>
      </c>
      <c r="K10" s="36"/>
      <c r="L10" s="78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/>
      <c r="Y10" s="83"/>
      <c r="Z10" s="83"/>
      <c r="AA10" s="83"/>
      <c r="AB10" s="83"/>
      <c r="AC10" s="83"/>
      <c r="AD10" s="83"/>
      <c r="AE10" s="83"/>
      <c r="AF10" s="83"/>
      <c r="AG10" s="2"/>
      <c r="AH10" s="73" t="str">
        <f t="shared" si="3"/>
        <v/>
      </c>
      <c r="AI10" s="73" t="str">
        <f t="shared" si="4"/>
        <v/>
      </c>
      <c r="AJ10" s="73" t="str">
        <f t="shared" si="5"/>
        <v/>
      </c>
      <c r="AK10" s="73" t="str">
        <f t="shared" si="6"/>
        <v/>
      </c>
      <c r="AL10" s="73" t="str">
        <f t="shared" si="7"/>
        <v/>
      </c>
      <c r="AM10" s="73" t="str">
        <f t="shared" si="8"/>
        <v/>
      </c>
      <c r="AN10" s="73" t="str">
        <f t="shared" si="9"/>
        <v/>
      </c>
      <c r="AO10" s="73" t="str">
        <f t="shared" si="10"/>
        <v/>
      </c>
      <c r="AP10" s="73" t="str">
        <f t="shared" si="11"/>
        <v/>
      </c>
      <c r="AQ10" s="73" t="str">
        <f t="shared" si="12"/>
        <v/>
      </c>
      <c r="AR10" s="73" t="str">
        <f t="shared" si="13"/>
        <v/>
      </c>
      <c r="AS10" s="73" t="str">
        <f t="shared" si="14"/>
        <v/>
      </c>
      <c r="AT10" s="73" t="str">
        <f t="shared" si="15"/>
        <v/>
      </c>
      <c r="AU10" s="73" t="str">
        <f t="shared" si="16"/>
        <v/>
      </c>
      <c r="AV10" s="73" t="str">
        <f t="shared" si="17"/>
        <v/>
      </c>
      <c r="AW10" s="73" t="str">
        <f t="shared" si="18"/>
        <v/>
      </c>
      <c r="AX10" s="73" t="str">
        <f t="shared" si="19"/>
        <v/>
      </c>
      <c r="AY10" s="73" t="str">
        <f t="shared" si="22"/>
        <v/>
      </c>
      <c r="AZ10" s="73" t="str">
        <f t="shared" si="22"/>
        <v/>
      </c>
      <c r="BA10" s="73" t="str">
        <f t="shared" si="22"/>
        <v/>
      </c>
      <c r="BB10" s="73" t="str">
        <f t="shared" si="21"/>
        <v/>
      </c>
      <c r="BC10" s="3"/>
    </row>
    <row r="11" spans="1:55">
      <c r="A11" s="37">
        <v>1066024</v>
      </c>
      <c r="B11" s="1">
        <v>71</v>
      </c>
      <c r="C11" s="27"/>
      <c r="D11" s="26"/>
      <c r="E11" s="34" t="s">
        <v>62</v>
      </c>
      <c r="F11" s="29">
        <v>42850</v>
      </c>
      <c r="G11" s="210" t="s">
        <v>67</v>
      </c>
      <c r="H11" s="83">
        <v>27.1</v>
      </c>
      <c r="I11" s="29">
        <v>42861</v>
      </c>
      <c r="J11" s="35">
        <v>0</v>
      </c>
      <c r="K11" s="36"/>
      <c r="L11" s="78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/>
      <c r="Y11" s="83"/>
      <c r="Z11" s="83"/>
      <c r="AA11" s="83"/>
      <c r="AB11" s="83"/>
      <c r="AC11" s="83"/>
      <c r="AD11" s="83"/>
      <c r="AE11" s="83"/>
      <c r="AF11" s="83"/>
      <c r="AG11" s="2"/>
      <c r="AH11" s="73" t="str">
        <f t="shared" si="3"/>
        <v/>
      </c>
      <c r="AI11" s="73" t="str">
        <f t="shared" si="4"/>
        <v/>
      </c>
      <c r="AJ11" s="73" t="str">
        <f t="shared" si="5"/>
        <v/>
      </c>
      <c r="AK11" s="73" t="str">
        <f t="shared" si="6"/>
        <v/>
      </c>
      <c r="AL11" s="73" t="str">
        <f t="shared" si="7"/>
        <v/>
      </c>
      <c r="AM11" s="73" t="str">
        <f t="shared" si="8"/>
        <v/>
      </c>
      <c r="AN11" s="73" t="str">
        <f t="shared" si="9"/>
        <v/>
      </c>
      <c r="AO11" s="73" t="str">
        <f t="shared" si="10"/>
        <v/>
      </c>
      <c r="AP11" s="73" t="str">
        <f t="shared" si="11"/>
        <v/>
      </c>
      <c r="AQ11" s="73" t="str">
        <f t="shared" si="12"/>
        <v/>
      </c>
      <c r="AR11" s="73" t="str">
        <f t="shared" si="13"/>
        <v/>
      </c>
      <c r="AS11" s="73" t="str">
        <f t="shared" si="14"/>
        <v/>
      </c>
      <c r="AT11" s="73" t="str">
        <f t="shared" si="15"/>
        <v/>
      </c>
      <c r="AU11" s="73" t="str">
        <f t="shared" si="16"/>
        <v/>
      </c>
      <c r="AV11" s="73" t="str">
        <f t="shared" si="17"/>
        <v/>
      </c>
      <c r="AW11" s="73" t="str">
        <f t="shared" si="18"/>
        <v/>
      </c>
      <c r="AX11" s="73" t="str">
        <f t="shared" si="19"/>
        <v/>
      </c>
      <c r="AY11" s="73"/>
      <c r="AZ11" s="73"/>
      <c r="BA11" s="73" t="str">
        <f>IF(OR(ISERROR(AC11/$J11)=TRUE,ISBLANK(AC11)=TRUE),"",AC11/$J11)</f>
        <v/>
      </c>
      <c r="BB11" s="73" t="str">
        <f t="shared" si="21"/>
        <v/>
      </c>
      <c r="BC11" s="3"/>
    </row>
    <row r="12" spans="1:55">
      <c r="A12" s="37">
        <v>1066024</v>
      </c>
      <c r="B12" s="1">
        <v>72</v>
      </c>
      <c r="C12" s="27"/>
      <c r="D12" s="26"/>
      <c r="E12" s="34" t="s">
        <v>62</v>
      </c>
      <c r="F12" s="29">
        <v>42850</v>
      </c>
      <c r="G12" s="210" t="s">
        <v>67</v>
      </c>
      <c r="H12" s="83">
        <v>26.9</v>
      </c>
      <c r="I12" s="29">
        <v>42861</v>
      </c>
      <c r="J12" s="35">
        <v>0</v>
      </c>
      <c r="K12" s="36"/>
      <c r="L12" s="78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/>
      <c r="Y12" s="83"/>
      <c r="Z12" s="83"/>
      <c r="AA12" s="83"/>
      <c r="AB12" s="83"/>
      <c r="AC12" s="83"/>
      <c r="AD12" s="83"/>
      <c r="AE12" s="83"/>
      <c r="AF12" s="83"/>
      <c r="AG12" s="2"/>
      <c r="AH12" s="73" t="str">
        <f t="shared" si="3"/>
        <v/>
      </c>
      <c r="AI12" s="73" t="str">
        <f t="shared" si="4"/>
        <v/>
      </c>
      <c r="AJ12" s="73" t="str">
        <f t="shared" si="5"/>
        <v/>
      </c>
      <c r="AK12" s="73" t="str">
        <f t="shared" si="6"/>
        <v/>
      </c>
      <c r="AL12" s="73" t="str">
        <f t="shared" si="7"/>
        <v/>
      </c>
      <c r="AM12" s="73" t="str">
        <f t="shared" si="8"/>
        <v/>
      </c>
      <c r="AN12" s="73" t="str">
        <f t="shared" si="9"/>
        <v/>
      </c>
      <c r="AO12" s="73" t="str">
        <f t="shared" si="10"/>
        <v/>
      </c>
      <c r="AP12" s="73" t="str">
        <f t="shared" si="11"/>
        <v/>
      </c>
      <c r="AQ12" s="73" t="str">
        <f t="shared" si="12"/>
        <v/>
      </c>
      <c r="AR12" s="73" t="str">
        <f t="shared" si="13"/>
        <v/>
      </c>
      <c r="AS12" s="73" t="str">
        <f t="shared" si="14"/>
        <v/>
      </c>
      <c r="AT12" s="73" t="str">
        <f t="shared" si="15"/>
        <v/>
      </c>
      <c r="AU12" s="73" t="str">
        <f t="shared" si="16"/>
        <v/>
      </c>
      <c r="AV12" s="73" t="str">
        <f t="shared" si="17"/>
        <v/>
      </c>
      <c r="AW12" s="73" t="str">
        <f t="shared" si="18"/>
        <v/>
      </c>
      <c r="AX12" s="73" t="str">
        <f t="shared" si="19"/>
        <v/>
      </c>
      <c r="AY12" s="73" t="str">
        <f t="shared" ref="AY12:AY20" si="23">IF(OR(ISERROR(AC12/$J12)=TRUE,ISBLANK(AC12)=TRUE),"",AC12/$J12)</f>
        <v/>
      </c>
      <c r="AZ12" s="73" t="str">
        <f t="shared" ref="AZ12:AZ20" si="24">IF(OR(ISERROR(AD12/$J12)=TRUE,ISBLANK(AD12)=TRUE),"",AD12/$J12)</f>
        <v/>
      </c>
      <c r="BA12" s="73" t="str">
        <f t="shared" ref="BA12:BA20" si="25">IF(OR(ISERROR(AE12/$J12)=TRUE,ISBLANK(AE12)=TRUE),"",AE12/$J12)</f>
        <v/>
      </c>
      <c r="BB12" s="73" t="str">
        <f t="shared" si="21"/>
        <v/>
      </c>
      <c r="BC12" s="3"/>
    </row>
    <row r="13" spans="1:55">
      <c r="A13" s="37">
        <v>1066024</v>
      </c>
      <c r="B13" s="1">
        <v>73</v>
      </c>
      <c r="C13" s="27"/>
      <c r="D13" s="26"/>
      <c r="E13" s="34" t="s">
        <v>63</v>
      </c>
      <c r="F13" s="29">
        <v>42850</v>
      </c>
      <c r="G13" s="210" t="s">
        <v>67</v>
      </c>
      <c r="H13" s="83">
        <v>27.1</v>
      </c>
      <c r="I13" s="29">
        <v>42861</v>
      </c>
      <c r="J13" s="35">
        <v>827</v>
      </c>
      <c r="K13" s="36"/>
      <c r="L13" s="78">
        <v>827</v>
      </c>
      <c r="M13" s="83">
        <v>607</v>
      </c>
      <c r="N13" s="83">
        <v>522</v>
      </c>
      <c r="O13" s="83">
        <v>418</v>
      </c>
      <c r="P13" s="83">
        <v>297</v>
      </c>
      <c r="Q13" s="83">
        <v>244</v>
      </c>
      <c r="R13" s="83">
        <v>200</v>
      </c>
      <c r="S13" s="83">
        <v>128</v>
      </c>
      <c r="T13" s="83">
        <v>114</v>
      </c>
      <c r="U13" s="83">
        <v>98</v>
      </c>
      <c r="V13" s="83">
        <v>74</v>
      </c>
      <c r="W13" s="83">
        <v>45.7</v>
      </c>
      <c r="X13" s="83"/>
      <c r="Y13" s="83"/>
      <c r="Z13" s="83"/>
      <c r="AA13" s="83"/>
      <c r="AB13" s="83"/>
      <c r="AC13" s="83"/>
      <c r="AD13" s="83"/>
      <c r="AE13" s="83"/>
      <c r="AF13" s="83"/>
      <c r="AG13" s="2"/>
      <c r="AH13" s="73">
        <f t="shared" ref="AH13:AH30" si="26">IF(OR(ISERROR(L13/$J13)=TRUE,ISBLANK(L13)=TRUE),"",L13/$J13)</f>
        <v>1</v>
      </c>
      <c r="AI13" s="73">
        <f t="shared" ref="AI13:AI30" si="27">IF(OR(ISERROR(M13/$J13)=TRUE,ISBLANK(M13)=TRUE),"",M13/$J13)</f>
        <v>0.73397823458282951</v>
      </c>
      <c r="AJ13" s="73">
        <f t="shared" ref="AJ13:AJ30" si="28">IF(OR(ISERROR(N13/$J13)=TRUE,ISBLANK(N13)=TRUE),"",N13/$J13)</f>
        <v>0.63119709794437728</v>
      </c>
      <c r="AK13" s="73">
        <f t="shared" ref="AK13:AK30" si="29">IF(OR(ISERROR(O13/$J13)=TRUE,ISBLANK(O13)=TRUE),"",O13/$J13)</f>
        <v>0.50544135429262393</v>
      </c>
      <c r="AL13" s="73">
        <f t="shared" ref="AL13:AL30" si="30">IF(OR(ISERROR(P13/$J13)=TRUE,ISBLANK(P13)=TRUE),"",P13/$J13)</f>
        <v>0.35912938331318017</v>
      </c>
      <c r="AM13" s="73">
        <f t="shared" ref="AM13:AM30" si="31">IF(OR(ISERROR(Q13/$J13)=TRUE,ISBLANK(Q13)=TRUE),"",Q13/$J13)</f>
        <v>0.29504232164449817</v>
      </c>
      <c r="AN13" s="73">
        <f t="shared" ref="AN13:AN30" si="32">IF(OR(ISERROR(R13/$J13)=TRUE,ISBLANK(R13)=TRUE),"",R13/$J13)</f>
        <v>0.2418379685610641</v>
      </c>
      <c r="AO13" s="73">
        <f t="shared" ref="AO13:AO30" si="33">IF(OR(ISERROR(S13/$J13)=TRUE,ISBLANK(S13)=TRUE),"",S13/$J13)</f>
        <v>0.15477629987908101</v>
      </c>
      <c r="AP13" s="73">
        <f t="shared" ref="AP13:AP30" si="34">IF(OR(ISERROR(T13/$J13)=TRUE,ISBLANK(T13)=TRUE),"",T13/$J13)</f>
        <v>0.13784764207980654</v>
      </c>
      <c r="AQ13" s="73">
        <f t="shared" ref="AQ13:AQ30" si="35">IF(OR(ISERROR(U13/$J13)=TRUE,ISBLANK(U13)=TRUE),"",U13/$J13)</f>
        <v>0.1185006045949214</v>
      </c>
      <c r="AR13" s="73">
        <f t="shared" ref="AR13:AR30" si="36">IF(OR(ISERROR(V13/$J13)=TRUE,ISBLANK(V13)=TRUE),"",V13/$J13)</f>
        <v>8.9480048367593712E-2</v>
      </c>
      <c r="AS13" s="73">
        <f t="shared" ref="AS13:AS30" si="37">IF(OR(ISERROR(W13/$J13)=TRUE,ISBLANK(W13)=TRUE),"",W13/$J13)</f>
        <v>5.525997581620315E-2</v>
      </c>
      <c r="AT13" s="73" t="str">
        <f t="shared" ref="AT13:AT30" si="38">IF(OR(ISERROR(X13/$J13)=TRUE,ISBLANK(X13)=TRUE),"",X13/$J13)</f>
        <v/>
      </c>
      <c r="AU13" s="73" t="str">
        <f t="shared" ref="AU13:AU30" si="39">IF(OR(ISERROR(Y13/$J13)=TRUE,ISBLANK(Y13)=TRUE),"",Y13/$J13)</f>
        <v/>
      </c>
      <c r="AV13" s="73" t="str">
        <f t="shared" ref="AV13:AV30" si="40">IF(OR(ISERROR(Z13/$J13)=TRUE,ISBLANK(Z13)=TRUE),"",Z13/$J13)</f>
        <v/>
      </c>
      <c r="AW13" s="73" t="str">
        <f t="shared" ref="AW13:AW30" si="41">IF(OR(ISERROR(AA13/$J13)=TRUE,ISBLANK(AA13)=TRUE),"",AA13/$J13)</f>
        <v/>
      </c>
      <c r="AX13" s="73" t="str">
        <f t="shared" ref="AX13:AX30" si="42">IF(OR(ISERROR(AB13/$J13)=TRUE,ISBLANK(AB13)=TRUE),"",AB13/$J13)</f>
        <v/>
      </c>
      <c r="AY13" s="73" t="str">
        <f t="shared" si="23"/>
        <v/>
      </c>
      <c r="AZ13" s="73" t="str">
        <f t="shared" si="24"/>
        <v/>
      </c>
      <c r="BA13" s="73" t="str">
        <f t="shared" si="25"/>
        <v/>
      </c>
      <c r="BB13" s="73" t="str">
        <f t="shared" si="21"/>
        <v/>
      </c>
      <c r="BC13" s="3"/>
    </row>
    <row r="14" spans="1:55">
      <c r="A14" s="37">
        <v>1066024</v>
      </c>
      <c r="B14" s="1">
        <v>74</v>
      </c>
      <c r="C14" s="27"/>
      <c r="D14" s="26"/>
      <c r="E14" s="34" t="s">
        <v>62</v>
      </c>
      <c r="F14" s="29">
        <v>42850</v>
      </c>
      <c r="G14" s="210" t="s">
        <v>67</v>
      </c>
      <c r="H14" s="83">
        <v>29.4</v>
      </c>
      <c r="I14" s="29">
        <v>42861</v>
      </c>
      <c r="J14" s="35">
        <v>0</v>
      </c>
      <c r="K14" s="36"/>
      <c r="L14" s="78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/>
      <c r="Y14" s="83"/>
      <c r="Z14" s="83"/>
      <c r="AA14" s="83"/>
      <c r="AB14" s="83"/>
      <c r="AC14" s="83"/>
      <c r="AD14" s="83"/>
      <c r="AE14" s="83"/>
      <c r="AF14" s="83"/>
      <c r="AG14" s="2"/>
      <c r="AH14" s="73" t="str">
        <f t="shared" si="26"/>
        <v/>
      </c>
      <c r="AI14" s="73" t="str">
        <f t="shared" si="27"/>
        <v/>
      </c>
      <c r="AJ14" s="73" t="str">
        <f t="shared" si="28"/>
        <v/>
      </c>
      <c r="AK14" s="73" t="str">
        <f t="shared" si="29"/>
        <v/>
      </c>
      <c r="AL14" s="73" t="str">
        <f t="shared" si="30"/>
        <v/>
      </c>
      <c r="AM14" s="73" t="str">
        <f t="shared" si="31"/>
        <v/>
      </c>
      <c r="AN14" s="73" t="str">
        <f t="shared" si="32"/>
        <v/>
      </c>
      <c r="AO14" s="73" t="str">
        <f t="shared" si="33"/>
        <v/>
      </c>
      <c r="AP14" s="73" t="str">
        <f t="shared" si="34"/>
        <v/>
      </c>
      <c r="AQ14" s="73" t="str">
        <f t="shared" si="35"/>
        <v/>
      </c>
      <c r="AR14" s="73" t="str">
        <f t="shared" si="36"/>
        <v/>
      </c>
      <c r="AS14" s="73" t="str">
        <f t="shared" si="37"/>
        <v/>
      </c>
      <c r="AT14" s="73" t="str">
        <f t="shared" si="38"/>
        <v/>
      </c>
      <c r="AU14" s="73" t="str">
        <f t="shared" si="39"/>
        <v/>
      </c>
      <c r="AV14" s="73" t="str">
        <f t="shared" si="40"/>
        <v/>
      </c>
      <c r="AW14" s="73" t="str">
        <f t="shared" si="41"/>
        <v/>
      </c>
      <c r="AX14" s="73" t="str">
        <f t="shared" si="42"/>
        <v/>
      </c>
      <c r="AY14" s="73" t="str">
        <f t="shared" si="23"/>
        <v/>
      </c>
      <c r="AZ14" s="73" t="str">
        <f t="shared" si="24"/>
        <v/>
      </c>
      <c r="BA14" s="73" t="str">
        <f t="shared" si="25"/>
        <v/>
      </c>
      <c r="BB14" s="73" t="str">
        <f t="shared" si="21"/>
        <v/>
      </c>
      <c r="BC14" s="3"/>
    </row>
    <row r="15" spans="1:55">
      <c r="A15" s="37">
        <v>1066024</v>
      </c>
      <c r="B15" s="1">
        <v>75</v>
      </c>
      <c r="C15" s="27"/>
      <c r="D15" s="26"/>
      <c r="E15" s="34" t="s">
        <v>63</v>
      </c>
      <c r="F15" s="29">
        <v>42850</v>
      </c>
      <c r="G15" s="210" t="s">
        <v>67</v>
      </c>
      <c r="H15" s="83">
        <v>25.8</v>
      </c>
      <c r="I15" s="29">
        <v>42861</v>
      </c>
      <c r="J15" s="35">
        <v>646</v>
      </c>
      <c r="K15" s="36"/>
      <c r="L15" s="78">
        <v>646</v>
      </c>
      <c r="M15" s="83">
        <v>485</v>
      </c>
      <c r="N15" s="83">
        <v>424</v>
      </c>
      <c r="O15" s="83">
        <v>344</v>
      </c>
      <c r="P15" s="83">
        <v>245</v>
      </c>
      <c r="Q15" s="83">
        <v>201</v>
      </c>
      <c r="R15" s="83">
        <v>164</v>
      </c>
      <c r="S15" s="83">
        <v>112</v>
      </c>
      <c r="T15" s="83">
        <v>91</v>
      </c>
      <c r="U15" s="83">
        <v>81</v>
      </c>
      <c r="V15" s="83">
        <v>62</v>
      </c>
      <c r="W15" s="83">
        <v>36.9</v>
      </c>
      <c r="X15" s="83"/>
      <c r="Y15" s="83"/>
      <c r="Z15" s="83"/>
      <c r="AA15" s="83"/>
      <c r="AB15" s="83"/>
      <c r="AC15" s="83"/>
      <c r="AD15" s="83"/>
      <c r="AE15" s="83"/>
      <c r="AF15" s="83"/>
      <c r="AG15" s="2"/>
      <c r="AH15" s="73">
        <f t="shared" si="26"/>
        <v>1</v>
      </c>
      <c r="AI15" s="73">
        <f t="shared" si="27"/>
        <v>0.75077399380804954</v>
      </c>
      <c r="AJ15" s="73">
        <f t="shared" si="28"/>
        <v>0.65634674922600622</v>
      </c>
      <c r="AK15" s="73">
        <f t="shared" si="29"/>
        <v>0.53250773993808054</v>
      </c>
      <c r="AL15" s="73">
        <f t="shared" si="30"/>
        <v>0.37925696594427244</v>
      </c>
      <c r="AM15" s="73">
        <f t="shared" si="31"/>
        <v>0.3111455108359133</v>
      </c>
      <c r="AN15" s="73">
        <f t="shared" si="32"/>
        <v>0.25386996904024767</v>
      </c>
      <c r="AO15" s="73">
        <f t="shared" si="33"/>
        <v>0.17337461300309598</v>
      </c>
      <c r="AP15" s="73">
        <f t="shared" si="34"/>
        <v>0.14086687306501547</v>
      </c>
      <c r="AQ15" s="73">
        <f t="shared" si="35"/>
        <v>0.12538699690402477</v>
      </c>
      <c r="AR15" s="73">
        <f t="shared" si="36"/>
        <v>9.5975232198142413E-2</v>
      </c>
      <c r="AS15" s="73">
        <f t="shared" si="37"/>
        <v>5.7120743034055725E-2</v>
      </c>
      <c r="AT15" s="73" t="str">
        <f t="shared" si="38"/>
        <v/>
      </c>
      <c r="AU15" s="73" t="str">
        <f t="shared" si="39"/>
        <v/>
      </c>
      <c r="AV15" s="73" t="str">
        <f t="shared" si="40"/>
        <v/>
      </c>
      <c r="AW15" s="73" t="str">
        <f t="shared" si="41"/>
        <v/>
      </c>
      <c r="AX15" s="73" t="str">
        <f t="shared" si="42"/>
        <v/>
      </c>
      <c r="AY15" s="73" t="str">
        <f t="shared" si="23"/>
        <v/>
      </c>
      <c r="AZ15" s="73" t="str">
        <f t="shared" si="24"/>
        <v/>
      </c>
      <c r="BA15" s="73" t="str">
        <f t="shared" si="25"/>
        <v/>
      </c>
      <c r="BB15" s="73" t="str">
        <f t="shared" si="21"/>
        <v/>
      </c>
      <c r="BC15" s="3"/>
    </row>
    <row r="16" spans="1:55">
      <c r="A16" s="37">
        <v>1066025</v>
      </c>
      <c r="B16" s="1">
        <v>81</v>
      </c>
      <c r="C16" s="27"/>
      <c r="D16" s="26"/>
      <c r="E16" s="34" t="s">
        <v>63</v>
      </c>
      <c r="F16" s="29">
        <v>42850</v>
      </c>
      <c r="G16" s="210" t="s">
        <v>67</v>
      </c>
      <c r="H16" s="83">
        <v>29.9</v>
      </c>
      <c r="I16" s="29">
        <v>42861</v>
      </c>
      <c r="J16" s="35">
        <v>557</v>
      </c>
      <c r="K16" s="36"/>
      <c r="L16" s="78">
        <v>557</v>
      </c>
      <c r="M16" s="83">
        <v>406</v>
      </c>
      <c r="N16" s="83">
        <v>360</v>
      </c>
      <c r="O16" s="83">
        <v>289</v>
      </c>
      <c r="P16" s="83">
        <v>211</v>
      </c>
      <c r="Q16" s="83">
        <v>169</v>
      </c>
      <c r="R16" s="83">
        <v>143</v>
      </c>
      <c r="S16" s="83">
        <v>95</v>
      </c>
      <c r="T16" s="83">
        <v>78</v>
      </c>
      <c r="U16" s="83">
        <v>69</v>
      </c>
      <c r="V16" s="83">
        <v>55</v>
      </c>
      <c r="W16" s="83">
        <v>31.5</v>
      </c>
      <c r="X16" s="83"/>
      <c r="Y16" s="83"/>
      <c r="Z16" s="83"/>
      <c r="AA16" s="83"/>
      <c r="AB16" s="83"/>
      <c r="AC16" s="83"/>
      <c r="AD16" s="83"/>
      <c r="AE16" s="83"/>
      <c r="AF16" s="83"/>
      <c r="AG16" s="2"/>
      <c r="AH16" s="73">
        <f t="shared" si="26"/>
        <v>1</v>
      </c>
      <c r="AI16" s="73">
        <f t="shared" si="27"/>
        <v>0.72890484739676842</v>
      </c>
      <c r="AJ16" s="73">
        <f t="shared" si="28"/>
        <v>0.64631956912028721</v>
      </c>
      <c r="AK16" s="73">
        <f t="shared" si="29"/>
        <v>0.51885098743267499</v>
      </c>
      <c r="AL16" s="73">
        <f t="shared" si="30"/>
        <v>0.37881508078994613</v>
      </c>
      <c r="AM16" s="73">
        <f t="shared" si="31"/>
        <v>0.30341113105924594</v>
      </c>
      <c r="AN16" s="73">
        <f t="shared" si="32"/>
        <v>0.25673249551166966</v>
      </c>
      <c r="AO16" s="73">
        <f t="shared" si="33"/>
        <v>0.17055655296229802</v>
      </c>
      <c r="AP16" s="73">
        <f t="shared" si="34"/>
        <v>0.14003590664272891</v>
      </c>
      <c r="AQ16" s="73">
        <f t="shared" si="35"/>
        <v>0.12387791741472172</v>
      </c>
      <c r="AR16" s="73">
        <f t="shared" si="36"/>
        <v>9.8743267504488336E-2</v>
      </c>
      <c r="AS16" s="73">
        <f t="shared" si="37"/>
        <v>5.6552962298025138E-2</v>
      </c>
      <c r="AT16" s="73" t="str">
        <f t="shared" si="38"/>
        <v/>
      </c>
      <c r="AU16" s="73" t="str">
        <f t="shared" si="39"/>
        <v/>
      </c>
      <c r="AV16" s="73" t="str">
        <f t="shared" si="40"/>
        <v/>
      </c>
      <c r="AW16" s="73" t="str">
        <f t="shared" si="41"/>
        <v/>
      </c>
      <c r="AX16" s="73" t="str">
        <f t="shared" si="42"/>
        <v/>
      </c>
      <c r="AY16" s="73" t="str">
        <f t="shared" si="23"/>
        <v/>
      </c>
      <c r="AZ16" s="73" t="str">
        <f t="shared" si="24"/>
        <v/>
      </c>
      <c r="BA16" s="73" t="str">
        <f t="shared" si="25"/>
        <v/>
      </c>
      <c r="BB16" s="73" t="str">
        <f t="shared" si="21"/>
        <v/>
      </c>
      <c r="BC16" s="3"/>
    </row>
    <row r="17" spans="1:55">
      <c r="A17" s="37">
        <v>1066025</v>
      </c>
      <c r="B17" s="1">
        <v>82</v>
      </c>
      <c r="C17" s="27"/>
      <c r="D17" s="26"/>
      <c r="E17" s="34" t="s">
        <v>62</v>
      </c>
      <c r="F17" s="29">
        <v>42850</v>
      </c>
      <c r="G17" s="210" t="s">
        <v>67</v>
      </c>
      <c r="H17" s="83">
        <v>27.4</v>
      </c>
      <c r="I17" s="29">
        <v>42861</v>
      </c>
      <c r="J17" s="35">
        <v>0</v>
      </c>
      <c r="K17" s="36"/>
      <c r="L17" s="78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/>
      <c r="Y17" s="83"/>
      <c r="Z17" s="83"/>
      <c r="AA17" s="83"/>
      <c r="AB17" s="83"/>
      <c r="AC17" s="83"/>
      <c r="AD17" s="83"/>
      <c r="AE17" s="83"/>
      <c r="AF17" s="83"/>
      <c r="AG17" s="2"/>
      <c r="AH17" s="73" t="str">
        <f t="shared" si="26"/>
        <v/>
      </c>
      <c r="AI17" s="73" t="str">
        <f t="shared" si="27"/>
        <v/>
      </c>
      <c r="AJ17" s="73" t="str">
        <f t="shared" si="28"/>
        <v/>
      </c>
      <c r="AK17" s="73" t="str">
        <f t="shared" si="29"/>
        <v/>
      </c>
      <c r="AL17" s="73" t="str">
        <f t="shared" si="30"/>
        <v/>
      </c>
      <c r="AM17" s="73" t="str">
        <f t="shared" si="31"/>
        <v/>
      </c>
      <c r="AN17" s="73" t="str">
        <f t="shared" si="32"/>
        <v/>
      </c>
      <c r="AO17" s="73" t="str">
        <f t="shared" si="33"/>
        <v/>
      </c>
      <c r="AP17" s="73" t="str">
        <f t="shared" si="34"/>
        <v/>
      </c>
      <c r="AQ17" s="73" t="str">
        <f t="shared" si="35"/>
        <v/>
      </c>
      <c r="AR17" s="73" t="str">
        <f t="shared" si="36"/>
        <v/>
      </c>
      <c r="AS17" s="73" t="str">
        <f t="shared" si="37"/>
        <v/>
      </c>
      <c r="AT17" s="73" t="str">
        <f t="shared" si="38"/>
        <v/>
      </c>
      <c r="AU17" s="73" t="str">
        <f t="shared" si="39"/>
        <v/>
      </c>
      <c r="AV17" s="73" t="str">
        <f t="shared" si="40"/>
        <v/>
      </c>
      <c r="AW17" s="73" t="str">
        <f t="shared" si="41"/>
        <v/>
      </c>
      <c r="AX17" s="73" t="str">
        <f t="shared" si="42"/>
        <v/>
      </c>
      <c r="AY17" s="73" t="str">
        <f t="shared" si="23"/>
        <v/>
      </c>
      <c r="AZ17" s="73" t="str">
        <f t="shared" si="24"/>
        <v/>
      </c>
      <c r="BA17" s="73" t="str">
        <f t="shared" si="25"/>
        <v/>
      </c>
      <c r="BB17" s="73" t="str">
        <f t="shared" si="21"/>
        <v/>
      </c>
      <c r="BC17" s="3"/>
    </row>
    <row r="18" spans="1:55">
      <c r="A18" s="37">
        <v>1066025</v>
      </c>
      <c r="B18" s="1">
        <v>83</v>
      </c>
      <c r="C18" s="27"/>
      <c r="D18" s="26"/>
      <c r="E18" s="34" t="s">
        <v>65</v>
      </c>
      <c r="F18" s="29">
        <v>42850</v>
      </c>
      <c r="G18" s="210" t="s">
        <v>68</v>
      </c>
      <c r="H18" s="83">
        <v>30</v>
      </c>
      <c r="I18" s="29">
        <v>42861</v>
      </c>
      <c r="J18" s="35">
        <v>674</v>
      </c>
      <c r="K18" s="36"/>
      <c r="L18" s="78">
        <v>674</v>
      </c>
      <c r="M18" s="83">
        <v>474</v>
      </c>
      <c r="N18" s="83">
        <v>397</v>
      </c>
      <c r="O18" s="83">
        <v>317</v>
      </c>
      <c r="P18" s="83">
        <v>235</v>
      </c>
      <c r="Q18" s="83">
        <v>192</v>
      </c>
      <c r="R18" s="83">
        <v>158</v>
      </c>
      <c r="S18" s="83">
        <v>107</v>
      </c>
      <c r="T18" s="83">
        <v>88</v>
      </c>
      <c r="U18" s="83">
        <v>76</v>
      </c>
      <c r="V18" s="83">
        <v>60</v>
      </c>
      <c r="W18" s="83">
        <v>36.5</v>
      </c>
      <c r="X18" s="83"/>
      <c r="Y18" s="83"/>
      <c r="Z18" s="83"/>
      <c r="AA18" s="83"/>
      <c r="AB18" s="83"/>
      <c r="AC18" s="83"/>
      <c r="AD18" s="83"/>
      <c r="AE18" s="83"/>
      <c r="AF18" s="83"/>
      <c r="AG18" s="2"/>
      <c r="AH18" s="73">
        <f t="shared" si="26"/>
        <v>1</v>
      </c>
      <c r="AI18" s="73">
        <f t="shared" si="27"/>
        <v>0.70326409495548958</v>
      </c>
      <c r="AJ18" s="73">
        <f t="shared" si="28"/>
        <v>0.58902077151335308</v>
      </c>
      <c r="AK18" s="73">
        <f t="shared" si="29"/>
        <v>0.47032640949554894</v>
      </c>
      <c r="AL18" s="73">
        <f t="shared" si="30"/>
        <v>0.3486646884272997</v>
      </c>
      <c r="AM18" s="73">
        <f t="shared" si="31"/>
        <v>0.28486646884272998</v>
      </c>
      <c r="AN18" s="73">
        <f t="shared" si="32"/>
        <v>0.23442136498516319</v>
      </c>
      <c r="AO18" s="73">
        <f t="shared" si="33"/>
        <v>0.15875370919881307</v>
      </c>
      <c r="AP18" s="73">
        <f t="shared" si="34"/>
        <v>0.13056379821958458</v>
      </c>
      <c r="AQ18" s="73">
        <f t="shared" si="35"/>
        <v>0.11275964391691394</v>
      </c>
      <c r="AR18" s="73">
        <f t="shared" si="36"/>
        <v>8.9020771513353122E-2</v>
      </c>
      <c r="AS18" s="73">
        <f t="shared" si="37"/>
        <v>5.4154302670623149E-2</v>
      </c>
      <c r="AT18" s="73" t="str">
        <f t="shared" si="38"/>
        <v/>
      </c>
      <c r="AU18" s="73" t="str">
        <f t="shared" si="39"/>
        <v/>
      </c>
      <c r="AV18" s="73" t="str">
        <f t="shared" si="40"/>
        <v/>
      </c>
      <c r="AW18" s="73" t="str">
        <f t="shared" si="41"/>
        <v/>
      </c>
      <c r="AX18" s="73" t="str">
        <f t="shared" si="42"/>
        <v/>
      </c>
      <c r="AY18" s="73" t="str">
        <f t="shared" si="23"/>
        <v/>
      </c>
      <c r="AZ18" s="73" t="str">
        <f t="shared" si="24"/>
        <v/>
      </c>
      <c r="BA18" s="73" t="str">
        <f t="shared" si="25"/>
        <v/>
      </c>
      <c r="BB18" s="73" t="str">
        <f t="shared" si="21"/>
        <v/>
      </c>
      <c r="BC18" s="3"/>
    </row>
    <row r="19" spans="1:55">
      <c r="A19" s="37">
        <v>1066025</v>
      </c>
      <c r="B19" s="1">
        <v>84</v>
      </c>
      <c r="C19" s="27"/>
      <c r="D19" s="26"/>
      <c r="E19" s="34" t="s">
        <v>64</v>
      </c>
      <c r="F19" s="29">
        <v>42850</v>
      </c>
      <c r="G19" s="210" t="s">
        <v>68</v>
      </c>
      <c r="H19" s="83">
        <v>27.2</v>
      </c>
      <c r="I19" s="29">
        <v>42861</v>
      </c>
      <c r="J19" s="35">
        <v>0</v>
      </c>
      <c r="K19" s="36"/>
      <c r="L19" s="78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/>
      <c r="Y19" s="83"/>
      <c r="Z19" s="83"/>
      <c r="AA19" s="83"/>
      <c r="AB19" s="83"/>
      <c r="AC19" s="83"/>
      <c r="AD19" s="83"/>
      <c r="AE19" s="83"/>
      <c r="AF19" s="83"/>
      <c r="AG19" s="2"/>
      <c r="AH19" s="73" t="str">
        <f t="shared" si="26"/>
        <v/>
      </c>
      <c r="AI19" s="73" t="str">
        <f t="shared" si="27"/>
        <v/>
      </c>
      <c r="AJ19" s="73" t="str">
        <f t="shared" si="28"/>
        <v/>
      </c>
      <c r="AK19" s="73" t="str">
        <f t="shared" si="29"/>
        <v/>
      </c>
      <c r="AL19" s="73" t="str">
        <f t="shared" si="30"/>
        <v/>
      </c>
      <c r="AM19" s="73" t="str">
        <f t="shared" si="31"/>
        <v/>
      </c>
      <c r="AN19" s="73" t="str">
        <f t="shared" si="32"/>
        <v/>
      </c>
      <c r="AO19" s="73" t="str">
        <f t="shared" si="33"/>
        <v/>
      </c>
      <c r="AP19" s="73" t="str">
        <f t="shared" si="34"/>
        <v/>
      </c>
      <c r="AQ19" s="73" t="str">
        <f t="shared" si="35"/>
        <v/>
      </c>
      <c r="AR19" s="73" t="str">
        <f t="shared" si="36"/>
        <v/>
      </c>
      <c r="AS19" s="73" t="str">
        <f t="shared" si="37"/>
        <v/>
      </c>
      <c r="AT19" s="73" t="str">
        <f t="shared" si="38"/>
        <v/>
      </c>
      <c r="AU19" s="73" t="str">
        <f t="shared" si="39"/>
        <v/>
      </c>
      <c r="AV19" s="73" t="str">
        <f t="shared" si="40"/>
        <v/>
      </c>
      <c r="AW19" s="73" t="str">
        <f t="shared" si="41"/>
        <v/>
      </c>
      <c r="AX19" s="73" t="str">
        <f t="shared" si="42"/>
        <v/>
      </c>
      <c r="AY19" s="73" t="str">
        <f t="shared" si="23"/>
        <v/>
      </c>
      <c r="AZ19" s="73" t="str">
        <f t="shared" si="24"/>
        <v/>
      </c>
      <c r="BA19" s="73" t="str">
        <f t="shared" si="25"/>
        <v/>
      </c>
      <c r="BB19" s="73" t="str">
        <f t="shared" si="21"/>
        <v/>
      </c>
      <c r="BC19" s="3"/>
    </row>
    <row r="20" spans="1:55">
      <c r="A20" s="37">
        <v>1066025</v>
      </c>
      <c r="B20" s="1">
        <v>85</v>
      </c>
      <c r="C20" s="27"/>
      <c r="D20" s="26"/>
      <c r="E20" s="28" t="s">
        <v>64</v>
      </c>
      <c r="F20" s="29">
        <v>42850</v>
      </c>
      <c r="G20" s="210" t="s">
        <v>68</v>
      </c>
      <c r="H20" s="83">
        <v>26.6</v>
      </c>
      <c r="I20" s="29">
        <v>42861</v>
      </c>
      <c r="J20" s="35">
        <v>0</v>
      </c>
      <c r="K20" s="36"/>
      <c r="L20" s="78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/>
      <c r="Y20" s="83"/>
      <c r="Z20" s="83"/>
      <c r="AA20" s="83"/>
      <c r="AB20" s="83"/>
      <c r="AC20" s="83"/>
      <c r="AD20" s="83"/>
      <c r="AE20" s="83"/>
      <c r="AF20" s="83"/>
      <c r="AG20" s="2"/>
      <c r="AH20" s="73" t="str">
        <f t="shared" si="26"/>
        <v/>
      </c>
      <c r="AI20" s="73" t="str">
        <f t="shared" si="27"/>
        <v/>
      </c>
      <c r="AJ20" s="73" t="str">
        <f t="shared" si="28"/>
        <v/>
      </c>
      <c r="AK20" s="73" t="str">
        <f t="shared" si="29"/>
        <v/>
      </c>
      <c r="AL20" s="73" t="str">
        <f t="shared" si="30"/>
        <v/>
      </c>
      <c r="AM20" s="73" t="str">
        <f t="shared" si="31"/>
        <v/>
      </c>
      <c r="AN20" s="73" t="str">
        <f t="shared" si="32"/>
        <v/>
      </c>
      <c r="AO20" s="73" t="str">
        <f t="shared" si="33"/>
        <v/>
      </c>
      <c r="AP20" s="73" t="str">
        <f t="shared" si="34"/>
        <v/>
      </c>
      <c r="AQ20" s="73" t="str">
        <f t="shared" si="35"/>
        <v/>
      </c>
      <c r="AR20" s="73" t="str">
        <f t="shared" si="36"/>
        <v/>
      </c>
      <c r="AS20" s="73" t="str">
        <f t="shared" si="37"/>
        <v/>
      </c>
      <c r="AT20" s="73" t="str">
        <f t="shared" si="38"/>
        <v/>
      </c>
      <c r="AU20" s="73" t="str">
        <f t="shared" si="39"/>
        <v/>
      </c>
      <c r="AV20" s="73" t="str">
        <f t="shared" si="40"/>
        <v/>
      </c>
      <c r="AW20" s="73" t="str">
        <f t="shared" si="41"/>
        <v/>
      </c>
      <c r="AX20" s="73" t="str">
        <f t="shared" si="42"/>
        <v/>
      </c>
      <c r="AY20" s="73" t="str">
        <f t="shared" si="23"/>
        <v/>
      </c>
      <c r="AZ20" s="73" t="str">
        <f t="shared" si="24"/>
        <v/>
      </c>
      <c r="BA20" s="73" t="str">
        <f t="shared" si="25"/>
        <v/>
      </c>
      <c r="BB20" s="73" t="str">
        <f t="shared" si="21"/>
        <v/>
      </c>
      <c r="BC20" s="3"/>
    </row>
    <row r="21" spans="1:55">
      <c r="A21" s="37">
        <v>1066026</v>
      </c>
      <c r="B21" s="1">
        <v>91</v>
      </c>
      <c r="C21" s="27"/>
      <c r="D21" s="26"/>
      <c r="E21" s="34" t="s">
        <v>64</v>
      </c>
      <c r="F21" s="29">
        <v>42850</v>
      </c>
      <c r="G21" s="210" t="s">
        <v>68</v>
      </c>
      <c r="H21" s="83">
        <v>29.2</v>
      </c>
      <c r="I21" s="29">
        <v>42861</v>
      </c>
      <c r="J21" s="35">
        <v>0</v>
      </c>
      <c r="K21" s="36"/>
      <c r="L21" s="78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  <c r="V21" s="83">
        <v>0</v>
      </c>
      <c r="W21" s="83">
        <v>0</v>
      </c>
      <c r="X21" s="83"/>
      <c r="Y21" s="83"/>
      <c r="Z21" s="83"/>
      <c r="AA21" s="83"/>
      <c r="AB21" s="83"/>
      <c r="AC21" s="83"/>
      <c r="AD21" s="83"/>
      <c r="AE21" s="83"/>
      <c r="AF21" s="83"/>
      <c r="AG21" s="2"/>
      <c r="AH21" s="73" t="str">
        <f t="shared" si="26"/>
        <v/>
      </c>
      <c r="AI21" s="73" t="str">
        <f t="shared" si="27"/>
        <v/>
      </c>
      <c r="AJ21" s="73" t="str">
        <f t="shared" si="28"/>
        <v/>
      </c>
      <c r="AK21" s="73" t="str">
        <f t="shared" si="29"/>
        <v/>
      </c>
      <c r="AL21" s="73" t="str">
        <f t="shared" si="30"/>
        <v/>
      </c>
      <c r="AM21" s="73" t="str">
        <f t="shared" si="31"/>
        <v/>
      </c>
      <c r="AN21" s="73" t="str">
        <f t="shared" si="32"/>
        <v/>
      </c>
      <c r="AO21" s="73" t="str">
        <f t="shared" si="33"/>
        <v/>
      </c>
      <c r="AP21" s="73" t="str">
        <f t="shared" si="34"/>
        <v/>
      </c>
      <c r="AQ21" s="73" t="str">
        <f t="shared" si="35"/>
        <v/>
      </c>
      <c r="AR21" s="73" t="str">
        <f t="shared" si="36"/>
        <v/>
      </c>
      <c r="AS21" s="73" t="str">
        <f t="shared" si="37"/>
        <v/>
      </c>
      <c r="AT21" s="73" t="str">
        <f t="shared" si="38"/>
        <v/>
      </c>
      <c r="AU21" s="73" t="str">
        <f t="shared" si="39"/>
        <v/>
      </c>
      <c r="AV21" s="73" t="str">
        <f t="shared" si="40"/>
        <v/>
      </c>
      <c r="AW21" s="73" t="str">
        <f t="shared" si="41"/>
        <v/>
      </c>
      <c r="AX21" s="73" t="str">
        <f t="shared" si="42"/>
        <v/>
      </c>
      <c r="AY21" s="73"/>
      <c r="AZ21" s="73"/>
      <c r="BA21" s="73" t="str">
        <f t="shared" ref="BA21:BA27" si="43">IF(OR(ISERROR(AC21/$J21)=TRUE,ISBLANK(AC21)=TRUE),"",AC21/$J21)</f>
        <v/>
      </c>
      <c r="BB21" s="73" t="str">
        <f t="shared" ref="BB21:BB30" si="44">IF(OR(ISERROR(AF21/$J21)=TRUE,ISBLANK(AF21)=TRUE),"",AF21/$J21)</f>
        <v/>
      </c>
      <c r="BC21" s="3"/>
    </row>
    <row r="22" spans="1:55">
      <c r="A22" s="37">
        <v>1066026</v>
      </c>
      <c r="B22" s="1">
        <v>92</v>
      </c>
      <c r="C22" s="27"/>
      <c r="D22" s="26"/>
      <c r="E22" s="34" t="s">
        <v>64</v>
      </c>
      <c r="F22" s="29">
        <v>42850</v>
      </c>
      <c r="G22" s="210" t="s">
        <v>68</v>
      </c>
      <c r="H22" s="83">
        <v>28.5</v>
      </c>
      <c r="I22" s="29">
        <v>42861</v>
      </c>
      <c r="J22" s="35">
        <v>0</v>
      </c>
      <c r="K22" s="36"/>
      <c r="L22" s="78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  <c r="X22" s="83"/>
      <c r="Y22" s="83"/>
      <c r="Z22" s="83"/>
      <c r="AA22" s="83"/>
      <c r="AB22" s="83"/>
      <c r="AC22" s="83"/>
      <c r="AD22" s="83"/>
      <c r="AE22" s="83"/>
      <c r="AF22" s="83"/>
      <c r="AG22" s="2"/>
      <c r="AH22" s="73" t="str">
        <f t="shared" si="26"/>
        <v/>
      </c>
      <c r="AI22" s="73" t="str">
        <f t="shared" si="27"/>
        <v/>
      </c>
      <c r="AJ22" s="73" t="str">
        <f t="shared" si="28"/>
        <v/>
      </c>
      <c r="AK22" s="73" t="str">
        <f t="shared" si="29"/>
        <v/>
      </c>
      <c r="AL22" s="73" t="str">
        <f t="shared" si="30"/>
        <v/>
      </c>
      <c r="AM22" s="73" t="str">
        <f t="shared" si="31"/>
        <v/>
      </c>
      <c r="AN22" s="73" t="str">
        <f t="shared" si="32"/>
        <v/>
      </c>
      <c r="AO22" s="73" t="str">
        <f t="shared" si="33"/>
        <v/>
      </c>
      <c r="AP22" s="73" t="str">
        <f t="shared" si="34"/>
        <v/>
      </c>
      <c r="AQ22" s="73" t="str">
        <f t="shared" si="35"/>
        <v/>
      </c>
      <c r="AR22" s="73" t="str">
        <f t="shared" si="36"/>
        <v/>
      </c>
      <c r="AS22" s="73" t="str">
        <f t="shared" si="37"/>
        <v/>
      </c>
      <c r="AT22" s="73" t="str">
        <f t="shared" si="38"/>
        <v/>
      </c>
      <c r="AU22" s="73" t="str">
        <f t="shared" si="39"/>
        <v/>
      </c>
      <c r="AV22" s="73" t="str">
        <f t="shared" si="40"/>
        <v/>
      </c>
      <c r="AW22" s="73" t="str">
        <f t="shared" si="41"/>
        <v/>
      </c>
      <c r="AX22" s="73" t="str">
        <f t="shared" si="42"/>
        <v/>
      </c>
      <c r="AY22" s="73" t="str">
        <f t="shared" ref="AY22:BA24" si="45">IF(OR(ISERROR(AC22/$J22)=TRUE,ISBLANK(AC22)=TRUE),"",AC22/$J22)</f>
        <v/>
      </c>
      <c r="AZ22" s="73" t="str">
        <f t="shared" si="45"/>
        <v/>
      </c>
      <c r="BA22" s="73" t="str">
        <f t="shared" si="45"/>
        <v/>
      </c>
      <c r="BB22" s="73" t="str">
        <f t="shared" si="44"/>
        <v/>
      </c>
      <c r="BC22" s="3"/>
    </row>
    <row r="23" spans="1:55">
      <c r="A23" s="37">
        <v>1066026</v>
      </c>
      <c r="B23" s="1">
        <v>93</v>
      </c>
      <c r="C23" s="27"/>
      <c r="D23" s="26"/>
      <c r="E23" s="34" t="s">
        <v>65</v>
      </c>
      <c r="F23" s="29">
        <v>42850</v>
      </c>
      <c r="G23" s="210" t="s">
        <v>68</v>
      </c>
      <c r="H23" s="83">
        <v>27.3</v>
      </c>
      <c r="I23" s="29">
        <v>42861</v>
      </c>
      <c r="J23" s="35">
        <v>691</v>
      </c>
      <c r="K23" s="36"/>
      <c r="L23" s="78">
        <v>691</v>
      </c>
      <c r="M23" s="83">
        <v>481</v>
      </c>
      <c r="N23" s="83">
        <v>417</v>
      </c>
      <c r="O23" s="83">
        <v>331</v>
      </c>
      <c r="P23" s="83">
        <v>247</v>
      </c>
      <c r="Q23" s="83">
        <v>201</v>
      </c>
      <c r="R23" s="83">
        <v>171</v>
      </c>
      <c r="S23" s="83">
        <v>109</v>
      </c>
      <c r="T23" s="83">
        <v>88</v>
      </c>
      <c r="U23" s="83">
        <v>79</v>
      </c>
      <c r="V23" s="83">
        <v>61</v>
      </c>
      <c r="W23" s="83">
        <v>36.5</v>
      </c>
      <c r="X23" s="83"/>
      <c r="Y23" s="83"/>
      <c r="Z23" s="83"/>
      <c r="AA23" s="83"/>
      <c r="AB23" s="83"/>
      <c r="AC23" s="83"/>
      <c r="AD23" s="83"/>
      <c r="AE23" s="83"/>
      <c r="AF23" s="83"/>
      <c r="AG23" s="2"/>
      <c r="AH23" s="73">
        <f t="shared" si="26"/>
        <v>1</v>
      </c>
      <c r="AI23" s="73">
        <f t="shared" si="27"/>
        <v>0.69609261939218525</v>
      </c>
      <c r="AJ23" s="73">
        <f t="shared" si="28"/>
        <v>0.60347322720694641</v>
      </c>
      <c r="AK23" s="73">
        <f t="shared" si="29"/>
        <v>0.47901591895803186</v>
      </c>
      <c r="AL23" s="73">
        <f t="shared" si="30"/>
        <v>0.35745296671490595</v>
      </c>
      <c r="AM23" s="73">
        <f t="shared" si="31"/>
        <v>0.29088277858176553</v>
      </c>
      <c r="AN23" s="73">
        <f t="shared" si="32"/>
        <v>0.24746743849493488</v>
      </c>
      <c r="AO23" s="73">
        <f t="shared" si="33"/>
        <v>0.15774240231548481</v>
      </c>
      <c r="AP23" s="73">
        <f t="shared" si="34"/>
        <v>0.12735166425470332</v>
      </c>
      <c r="AQ23" s="73">
        <f t="shared" si="35"/>
        <v>0.11432706222865413</v>
      </c>
      <c r="AR23" s="73">
        <f t="shared" si="36"/>
        <v>8.8277858176555715E-2</v>
      </c>
      <c r="AS23" s="73">
        <f t="shared" si="37"/>
        <v>5.2821997105643996E-2</v>
      </c>
      <c r="AT23" s="73" t="str">
        <f t="shared" si="38"/>
        <v/>
      </c>
      <c r="AU23" s="73" t="str">
        <f t="shared" si="39"/>
        <v/>
      </c>
      <c r="AV23" s="73" t="str">
        <f t="shared" si="40"/>
        <v/>
      </c>
      <c r="AW23" s="73" t="str">
        <f t="shared" si="41"/>
        <v/>
      </c>
      <c r="AX23" s="73" t="str">
        <f t="shared" si="42"/>
        <v/>
      </c>
      <c r="AY23" s="73" t="str">
        <f t="shared" si="45"/>
        <v/>
      </c>
      <c r="AZ23" s="73" t="str">
        <f t="shared" si="45"/>
        <v/>
      </c>
      <c r="BA23" s="73" t="str">
        <f t="shared" si="45"/>
        <v/>
      </c>
      <c r="BB23" s="73" t="str">
        <f t="shared" si="44"/>
        <v/>
      </c>
      <c r="BC23" s="3"/>
    </row>
    <row r="24" spans="1:55">
      <c r="A24" s="37">
        <v>1066026</v>
      </c>
      <c r="B24" s="1">
        <v>94</v>
      </c>
      <c r="C24" s="27"/>
      <c r="D24" s="26"/>
      <c r="E24" s="34" t="s">
        <v>65</v>
      </c>
      <c r="F24" s="29">
        <v>42850</v>
      </c>
      <c r="G24" s="210" t="s">
        <v>68</v>
      </c>
      <c r="H24" s="83">
        <v>28.1</v>
      </c>
      <c r="I24" s="29">
        <v>42861</v>
      </c>
      <c r="J24" s="35">
        <v>1056</v>
      </c>
      <c r="K24" s="36"/>
      <c r="L24" s="78">
        <v>1056</v>
      </c>
      <c r="M24" s="83">
        <v>772</v>
      </c>
      <c r="N24" s="83">
        <v>682</v>
      </c>
      <c r="O24" s="83">
        <v>534</v>
      </c>
      <c r="P24" s="83">
        <v>384</v>
      </c>
      <c r="Q24" s="83">
        <v>309</v>
      </c>
      <c r="R24" s="83">
        <v>254</v>
      </c>
      <c r="S24" s="83">
        <v>165</v>
      </c>
      <c r="T24" s="83">
        <v>132</v>
      </c>
      <c r="U24" s="83">
        <v>117</v>
      </c>
      <c r="V24" s="83">
        <v>91</v>
      </c>
      <c r="W24" s="83">
        <v>59.2</v>
      </c>
      <c r="X24" s="83"/>
      <c r="Y24" s="83"/>
      <c r="Z24" s="83"/>
      <c r="AA24" s="83"/>
      <c r="AB24" s="83"/>
      <c r="AC24" s="83"/>
      <c r="AD24" s="83"/>
      <c r="AE24" s="83"/>
      <c r="AF24" s="83"/>
      <c r="AG24" s="2"/>
      <c r="AH24" s="73">
        <f t="shared" si="26"/>
        <v>1</v>
      </c>
      <c r="AI24" s="73">
        <f t="shared" si="27"/>
        <v>0.73106060606060608</v>
      </c>
      <c r="AJ24" s="73">
        <f t="shared" si="28"/>
        <v>0.64583333333333337</v>
      </c>
      <c r="AK24" s="73">
        <f t="shared" si="29"/>
        <v>0.50568181818181823</v>
      </c>
      <c r="AL24" s="73">
        <f t="shared" si="30"/>
        <v>0.36363636363636365</v>
      </c>
      <c r="AM24" s="73">
        <f t="shared" si="31"/>
        <v>0.29261363636363635</v>
      </c>
      <c r="AN24" s="73">
        <f t="shared" si="32"/>
        <v>0.24053030303030304</v>
      </c>
      <c r="AO24" s="73">
        <f t="shared" si="33"/>
        <v>0.15625</v>
      </c>
      <c r="AP24" s="73">
        <f t="shared" si="34"/>
        <v>0.125</v>
      </c>
      <c r="AQ24" s="73">
        <f t="shared" si="35"/>
        <v>0.11079545454545454</v>
      </c>
      <c r="AR24" s="73">
        <f t="shared" si="36"/>
        <v>8.6174242424242431E-2</v>
      </c>
      <c r="AS24" s="73">
        <f t="shared" si="37"/>
        <v>5.6060606060606061E-2</v>
      </c>
      <c r="AT24" s="73" t="str">
        <f t="shared" si="38"/>
        <v/>
      </c>
      <c r="AU24" s="73" t="str">
        <f t="shared" si="39"/>
        <v/>
      </c>
      <c r="AV24" s="73" t="str">
        <f t="shared" si="40"/>
        <v/>
      </c>
      <c r="AW24" s="73" t="str">
        <f t="shared" si="41"/>
        <v/>
      </c>
      <c r="AX24" s="73" t="str">
        <f t="shared" si="42"/>
        <v/>
      </c>
      <c r="AY24" s="73" t="str">
        <f t="shared" si="45"/>
        <v/>
      </c>
      <c r="AZ24" s="73" t="str">
        <f t="shared" si="45"/>
        <v/>
      </c>
      <c r="BA24" s="73" t="str">
        <f t="shared" si="45"/>
        <v/>
      </c>
      <c r="BB24" s="73" t="str">
        <f t="shared" si="44"/>
        <v/>
      </c>
      <c r="BC24" s="3"/>
    </row>
    <row r="25" spans="1:55">
      <c r="A25" s="37">
        <v>1066026</v>
      </c>
      <c r="B25" s="1">
        <v>95</v>
      </c>
      <c r="C25" s="27"/>
      <c r="D25" s="26"/>
      <c r="E25" s="34" t="s">
        <v>65</v>
      </c>
      <c r="F25" s="29">
        <v>42850</v>
      </c>
      <c r="G25" s="210" t="s">
        <v>68</v>
      </c>
      <c r="H25" s="83">
        <v>26.9</v>
      </c>
      <c r="I25" s="29">
        <v>42861</v>
      </c>
      <c r="J25" s="35">
        <v>1709</v>
      </c>
      <c r="K25" s="36"/>
      <c r="L25" s="78">
        <v>1709</v>
      </c>
      <c r="M25" s="83">
        <v>1399</v>
      </c>
      <c r="N25" s="83">
        <v>1163</v>
      </c>
      <c r="O25" s="83">
        <v>888</v>
      </c>
      <c r="P25" s="83">
        <v>623</v>
      </c>
      <c r="Q25" s="83">
        <v>500</v>
      </c>
      <c r="R25" s="83">
        <v>387</v>
      </c>
      <c r="S25" s="83">
        <v>261</v>
      </c>
      <c r="T25" s="83">
        <v>203</v>
      </c>
      <c r="U25" s="83">
        <v>179</v>
      </c>
      <c r="V25" s="83">
        <v>128</v>
      </c>
      <c r="W25" s="83">
        <v>84.9</v>
      </c>
      <c r="X25" s="83"/>
      <c r="Y25" s="83"/>
      <c r="Z25" s="83"/>
      <c r="AA25" s="83"/>
      <c r="AB25" s="83"/>
      <c r="AC25" s="83"/>
      <c r="AD25" s="83"/>
      <c r="AE25" s="83"/>
      <c r="AF25" s="83"/>
      <c r="AG25" s="2"/>
      <c r="AH25" s="73">
        <f t="shared" si="26"/>
        <v>1</v>
      </c>
      <c r="AI25" s="73">
        <f t="shared" si="27"/>
        <v>0.81860737273259221</v>
      </c>
      <c r="AJ25" s="73">
        <f t="shared" si="28"/>
        <v>0.68051492100643651</v>
      </c>
      <c r="AK25" s="73">
        <f t="shared" si="29"/>
        <v>0.51960210649502636</v>
      </c>
      <c r="AL25" s="73">
        <f t="shared" si="30"/>
        <v>0.36454066705675836</v>
      </c>
      <c r="AM25" s="73">
        <f t="shared" si="31"/>
        <v>0.29256875365710944</v>
      </c>
      <c r="AN25" s="73">
        <f t="shared" si="32"/>
        <v>0.22644821533060269</v>
      </c>
      <c r="AO25" s="73">
        <f t="shared" si="33"/>
        <v>0.15272088940901113</v>
      </c>
      <c r="AP25" s="73">
        <f t="shared" si="34"/>
        <v>0.11878291398478642</v>
      </c>
      <c r="AQ25" s="73">
        <f t="shared" si="35"/>
        <v>0.10473961380924517</v>
      </c>
      <c r="AR25" s="73">
        <f t="shared" si="36"/>
        <v>7.4897600936220013E-2</v>
      </c>
      <c r="AS25" s="73">
        <f t="shared" si="37"/>
        <v>4.9678174370977185E-2</v>
      </c>
      <c r="AT25" s="73" t="str">
        <f t="shared" si="38"/>
        <v/>
      </c>
      <c r="AU25" s="73" t="str">
        <f t="shared" si="39"/>
        <v/>
      </c>
      <c r="AV25" s="73" t="str">
        <f t="shared" si="40"/>
        <v/>
      </c>
      <c r="AW25" s="73" t="str">
        <f t="shared" si="41"/>
        <v/>
      </c>
      <c r="AX25" s="73" t="str">
        <f t="shared" si="42"/>
        <v/>
      </c>
      <c r="AY25" s="73"/>
      <c r="AZ25" s="73"/>
      <c r="BA25" s="73" t="str">
        <f t="shared" si="43"/>
        <v/>
      </c>
      <c r="BB25" s="73" t="str">
        <f t="shared" si="44"/>
        <v/>
      </c>
      <c r="BC25" s="3"/>
    </row>
    <row r="26" spans="1:55">
      <c r="A26" s="37">
        <v>1066027</v>
      </c>
      <c r="B26" s="1">
        <v>101</v>
      </c>
      <c r="C26" s="27"/>
      <c r="D26" s="26"/>
      <c r="E26" s="34" t="s">
        <v>73</v>
      </c>
      <c r="F26" s="29">
        <v>42850</v>
      </c>
      <c r="G26" s="210" t="s">
        <v>68</v>
      </c>
      <c r="H26" s="83">
        <v>27.2</v>
      </c>
      <c r="I26" s="29">
        <v>42861</v>
      </c>
      <c r="J26" s="35">
        <v>188</v>
      </c>
      <c r="K26" s="36"/>
      <c r="L26" s="78">
        <v>188</v>
      </c>
      <c r="M26" s="83">
        <v>130</v>
      </c>
      <c r="N26" s="83">
        <v>115</v>
      </c>
      <c r="O26" s="83">
        <v>91</v>
      </c>
      <c r="P26" s="83">
        <v>65</v>
      </c>
      <c r="Q26" s="83">
        <v>55</v>
      </c>
      <c r="R26" s="83">
        <v>45</v>
      </c>
      <c r="S26" s="83">
        <v>25</v>
      </c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2"/>
      <c r="AH26" s="73">
        <f t="shared" si="26"/>
        <v>1</v>
      </c>
      <c r="AI26" s="73">
        <f t="shared" si="27"/>
        <v>0.69148936170212771</v>
      </c>
      <c r="AJ26" s="73">
        <f t="shared" si="28"/>
        <v>0.61170212765957444</v>
      </c>
      <c r="AK26" s="73">
        <f t="shared" si="29"/>
        <v>0.48404255319148937</v>
      </c>
      <c r="AL26" s="73">
        <f t="shared" si="30"/>
        <v>0.34574468085106386</v>
      </c>
      <c r="AM26" s="73">
        <f t="shared" si="31"/>
        <v>0.29255319148936171</v>
      </c>
      <c r="AN26" s="73">
        <f t="shared" si="32"/>
        <v>0.23936170212765959</v>
      </c>
      <c r="AO26" s="73">
        <f t="shared" si="33"/>
        <v>0.13297872340425532</v>
      </c>
      <c r="AP26" s="73" t="str">
        <f t="shared" si="34"/>
        <v/>
      </c>
      <c r="AQ26" s="73" t="str">
        <f t="shared" si="35"/>
        <v/>
      </c>
      <c r="AR26" s="73" t="str">
        <f t="shared" si="36"/>
        <v/>
      </c>
      <c r="AS26" s="73" t="str">
        <f t="shared" si="37"/>
        <v/>
      </c>
      <c r="AT26" s="73" t="str">
        <f t="shared" si="38"/>
        <v/>
      </c>
      <c r="AU26" s="73" t="str">
        <f t="shared" si="39"/>
        <v/>
      </c>
      <c r="AV26" s="73" t="str">
        <f t="shared" si="40"/>
        <v/>
      </c>
      <c r="AW26" s="73" t="str">
        <f t="shared" si="41"/>
        <v/>
      </c>
      <c r="AX26" s="73" t="str">
        <f t="shared" si="42"/>
        <v/>
      </c>
      <c r="AY26" s="73"/>
      <c r="AZ26" s="73"/>
      <c r="BA26" s="73" t="str">
        <f t="shared" si="43"/>
        <v/>
      </c>
      <c r="BB26" s="73" t="str">
        <f t="shared" si="44"/>
        <v/>
      </c>
      <c r="BC26" s="3"/>
    </row>
    <row r="27" spans="1:55">
      <c r="A27" s="37">
        <v>1066027</v>
      </c>
      <c r="B27" s="1">
        <v>102</v>
      </c>
      <c r="C27" s="27"/>
      <c r="D27" s="26"/>
      <c r="E27" s="34" t="s">
        <v>65</v>
      </c>
      <c r="F27" s="29">
        <v>42850</v>
      </c>
      <c r="G27" s="210" t="s">
        <v>68</v>
      </c>
      <c r="H27" s="83">
        <v>26</v>
      </c>
      <c r="I27" s="29">
        <v>42861</v>
      </c>
      <c r="J27" s="35">
        <v>778</v>
      </c>
      <c r="K27" s="36"/>
      <c r="L27" s="78">
        <v>778</v>
      </c>
      <c r="M27" s="83">
        <v>603</v>
      </c>
      <c r="N27" s="83">
        <v>513</v>
      </c>
      <c r="O27" s="83">
        <v>409</v>
      </c>
      <c r="P27" s="83">
        <v>289</v>
      </c>
      <c r="Q27" s="83">
        <v>235</v>
      </c>
      <c r="R27" s="83">
        <v>193</v>
      </c>
      <c r="S27" s="83">
        <v>124</v>
      </c>
      <c r="T27" s="83">
        <v>100</v>
      </c>
      <c r="U27" s="83">
        <v>85</v>
      </c>
      <c r="V27" s="83">
        <v>67</v>
      </c>
      <c r="W27" s="83">
        <v>39.799999999999997</v>
      </c>
      <c r="X27" s="83"/>
      <c r="Y27" s="83"/>
      <c r="Z27" s="83"/>
      <c r="AA27" s="83"/>
      <c r="AB27" s="83"/>
      <c r="AC27" s="83"/>
      <c r="AD27" s="83"/>
      <c r="AE27" s="83"/>
      <c r="AF27" s="83"/>
      <c r="AG27" s="2"/>
      <c r="AH27" s="73">
        <f t="shared" si="26"/>
        <v>1</v>
      </c>
      <c r="AI27" s="73">
        <f t="shared" si="27"/>
        <v>0.77506426735218514</v>
      </c>
      <c r="AJ27" s="73">
        <f t="shared" si="28"/>
        <v>0.65938303341902316</v>
      </c>
      <c r="AK27" s="73">
        <f t="shared" si="29"/>
        <v>0.52570694087403602</v>
      </c>
      <c r="AL27" s="73">
        <f t="shared" si="30"/>
        <v>0.37146529562982006</v>
      </c>
      <c r="AM27" s="73">
        <f t="shared" si="31"/>
        <v>0.30205655526992287</v>
      </c>
      <c r="AN27" s="73">
        <f t="shared" si="32"/>
        <v>0.24807197943444731</v>
      </c>
      <c r="AO27" s="73">
        <f t="shared" si="33"/>
        <v>0.15938303341902313</v>
      </c>
      <c r="AP27" s="73">
        <f t="shared" si="34"/>
        <v>0.12853470437017994</v>
      </c>
      <c r="AQ27" s="73">
        <f t="shared" si="35"/>
        <v>0.10925449871465295</v>
      </c>
      <c r="AR27" s="73">
        <f t="shared" si="36"/>
        <v>8.611825192802057E-2</v>
      </c>
      <c r="AS27" s="73">
        <f t="shared" si="37"/>
        <v>5.1156812339331614E-2</v>
      </c>
      <c r="AT27" s="73" t="str">
        <f t="shared" si="38"/>
        <v/>
      </c>
      <c r="AU27" s="73" t="str">
        <f t="shared" si="39"/>
        <v/>
      </c>
      <c r="AV27" s="73" t="str">
        <f t="shared" si="40"/>
        <v/>
      </c>
      <c r="AW27" s="73" t="str">
        <f t="shared" si="41"/>
        <v/>
      </c>
      <c r="AX27" s="73" t="str">
        <f t="shared" si="42"/>
        <v/>
      </c>
      <c r="AY27" s="73"/>
      <c r="AZ27" s="73"/>
      <c r="BA27" s="73" t="str">
        <f t="shared" si="43"/>
        <v/>
      </c>
      <c r="BB27" s="73" t="str">
        <f t="shared" si="44"/>
        <v/>
      </c>
      <c r="BC27" s="3"/>
    </row>
    <row r="28" spans="1:55">
      <c r="A28" s="37">
        <v>1066027</v>
      </c>
      <c r="B28" s="1">
        <v>103</v>
      </c>
      <c r="C28" s="27"/>
      <c r="D28" s="26"/>
      <c r="E28" s="34" t="s">
        <v>73</v>
      </c>
      <c r="F28" s="29">
        <v>42850</v>
      </c>
      <c r="G28" s="210" t="s">
        <v>68</v>
      </c>
      <c r="H28" s="83">
        <v>28.4</v>
      </c>
      <c r="I28" s="29">
        <v>42861</v>
      </c>
      <c r="J28" s="35">
        <v>119</v>
      </c>
      <c r="K28" s="36"/>
      <c r="L28" s="78">
        <v>119</v>
      </c>
      <c r="M28" s="83">
        <v>41</v>
      </c>
      <c r="N28" s="83">
        <v>38</v>
      </c>
      <c r="O28" s="83">
        <v>34</v>
      </c>
      <c r="P28" s="83">
        <v>16</v>
      </c>
      <c r="Q28" s="83">
        <v>13</v>
      </c>
      <c r="R28" s="83">
        <v>11</v>
      </c>
      <c r="S28" s="83">
        <v>8</v>
      </c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2"/>
      <c r="AH28" s="73">
        <f t="shared" si="26"/>
        <v>1</v>
      </c>
      <c r="AI28" s="73">
        <f t="shared" si="27"/>
        <v>0.34453781512605042</v>
      </c>
      <c r="AJ28" s="73">
        <f t="shared" si="28"/>
        <v>0.31932773109243695</v>
      </c>
      <c r="AK28" s="73">
        <f t="shared" si="29"/>
        <v>0.2857142857142857</v>
      </c>
      <c r="AL28" s="73">
        <f t="shared" si="30"/>
        <v>0.13445378151260504</v>
      </c>
      <c r="AM28" s="73">
        <f t="shared" si="31"/>
        <v>0.1092436974789916</v>
      </c>
      <c r="AN28" s="73">
        <f t="shared" si="32"/>
        <v>9.2436974789915971E-2</v>
      </c>
      <c r="AO28" s="73">
        <f t="shared" si="33"/>
        <v>6.7226890756302518E-2</v>
      </c>
      <c r="AP28" s="73" t="str">
        <f t="shared" si="34"/>
        <v/>
      </c>
      <c r="AQ28" s="73" t="str">
        <f t="shared" si="35"/>
        <v/>
      </c>
      <c r="AR28" s="73" t="str">
        <f t="shared" si="36"/>
        <v/>
      </c>
      <c r="AS28" s="73" t="str">
        <f t="shared" si="37"/>
        <v/>
      </c>
      <c r="AT28" s="73" t="str">
        <f t="shared" si="38"/>
        <v/>
      </c>
      <c r="AU28" s="73" t="str">
        <f t="shared" si="39"/>
        <v/>
      </c>
      <c r="AV28" s="73" t="str">
        <f t="shared" si="40"/>
        <v/>
      </c>
      <c r="AW28" s="73" t="str">
        <f t="shared" si="41"/>
        <v/>
      </c>
      <c r="AX28" s="73" t="str">
        <f t="shared" si="42"/>
        <v/>
      </c>
      <c r="AY28" s="73" t="str">
        <f t="shared" ref="AY28:BA30" si="46">IF(OR(ISERROR(AC28/$J28)=TRUE,ISBLANK(AC28)=TRUE),"",AC28/$J28)</f>
        <v/>
      </c>
      <c r="AZ28" s="73" t="str">
        <f t="shared" si="46"/>
        <v/>
      </c>
      <c r="BA28" s="73" t="str">
        <f t="shared" si="46"/>
        <v/>
      </c>
      <c r="BB28" s="73" t="str">
        <f t="shared" si="44"/>
        <v/>
      </c>
      <c r="BC28" s="3"/>
    </row>
    <row r="29" spans="1:55">
      <c r="A29" s="37">
        <v>1066027</v>
      </c>
      <c r="B29" s="1">
        <v>104</v>
      </c>
      <c r="C29" s="27"/>
      <c r="D29" s="26"/>
      <c r="E29" s="34" t="s">
        <v>64</v>
      </c>
      <c r="F29" s="29">
        <v>42850</v>
      </c>
      <c r="G29" s="210" t="s">
        <v>68</v>
      </c>
      <c r="H29" s="83">
        <v>26.8</v>
      </c>
      <c r="I29" s="29">
        <v>42861</v>
      </c>
      <c r="J29" s="35">
        <v>0</v>
      </c>
      <c r="K29" s="36"/>
      <c r="L29" s="78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2"/>
      <c r="AH29" s="73" t="str">
        <f t="shared" si="26"/>
        <v/>
      </c>
      <c r="AI29" s="73" t="str">
        <f t="shared" si="27"/>
        <v/>
      </c>
      <c r="AJ29" s="73" t="str">
        <f t="shared" si="28"/>
        <v/>
      </c>
      <c r="AK29" s="73" t="str">
        <f t="shared" si="29"/>
        <v/>
      </c>
      <c r="AL29" s="73" t="str">
        <f t="shared" si="30"/>
        <v/>
      </c>
      <c r="AM29" s="73" t="str">
        <f t="shared" si="31"/>
        <v/>
      </c>
      <c r="AN29" s="73" t="str">
        <f t="shared" si="32"/>
        <v/>
      </c>
      <c r="AO29" s="73" t="str">
        <f t="shared" si="33"/>
        <v/>
      </c>
      <c r="AP29" s="73" t="str">
        <f t="shared" si="34"/>
        <v/>
      </c>
      <c r="AQ29" s="73" t="str">
        <f t="shared" si="35"/>
        <v/>
      </c>
      <c r="AR29" s="73" t="str">
        <f t="shared" si="36"/>
        <v/>
      </c>
      <c r="AS29" s="73" t="str">
        <f t="shared" si="37"/>
        <v/>
      </c>
      <c r="AT29" s="73" t="str">
        <f t="shared" si="38"/>
        <v/>
      </c>
      <c r="AU29" s="73" t="str">
        <f t="shared" si="39"/>
        <v/>
      </c>
      <c r="AV29" s="73" t="str">
        <f t="shared" si="40"/>
        <v/>
      </c>
      <c r="AW29" s="73" t="str">
        <f t="shared" si="41"/>
        <v/>
      </c>
      <c r="AX29" s="73" t="str">
        <f t="shared" si="42"/>
        <v/>
      </c>
      <c r="AY29" s="73" t="str">
        <f t="shared" si="46"/>
        <v/>
      </c>
      <c r="AZ29" s="73" t="str">
        <f t="shared" si="46"/>
        <v/>
      </c>
      <c r="BA29" s="73" t="str">
        <f t="shared" si="46"/>
        <v/>
      </c>
      <c r="BB29" s="73" t="str">
        <f t="shared" si="44"/>
        <v/>
      </c>
      <c r="BC29" s="3"/>
    </row>
    <row r="30" spans="1:55">
      <c r="A30" s="38">
        <v>1066027</v>
      </c>
      <c r="B30" s="4">
        <v>105</v>
      </c>
      <c r="C30" s="89"/>
      <c r="D30" s="4"/>
      <c r="E30" s="34" t="s">
        <v>64</v>
      </c>
      <c r="F30" s="39">
        <v>42850</v>
      </c>
      <c r="G30" s="211" t="s">
        <v>68</v>
      </c>
      <c r="H30" s="84">
        <v>25.7</v>
      </c>
      <c r="I30" s="29">
        <v>42861</v>
      </c>
      <c r="J30" s="40">
        <v>0</v>
      </c>
      <c r="K30" s="42"/>
      <c r="L30" s="91">
        <v>0</v>
      </c>
      <c r="M30" s="84">
        <v>0</v>
      </c>
      <c r="N30" s="84">
        <v>0</v>
      </c>
      <c r="O30" s="84">
        <v>0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84">
        <v>0</v>
      </c>
      <c r="W30" s="84">
        <v>0</v>
      </c>
      <c r="X30" s="84"/>
      <c r="Y30" s="84"/>
      <c r="Z30" s="84"/>
      <c r="AA30" s="84"/>
      <c r="AB30" s="84"/>
      <c r="AC30" s="84"/>
      <c r="AD30" s="84"/>
      <c r="AE30" s="84"/>
      <c r="AF30" s="84"/>
      <c r="AG30" s="5"/>
      <c r="AH30" s="73" t="str">
        <f t="shared" si="26"/>
        <v/>
      </c>
      <c r="AI30" s="73" t="str">
        <f t="shared" si="27"/>
        <v/>
      </c>
      <c r="AJ30" s="73" t="str">
        <f t="shared" si="28"/>
        <v/>
      </c>
      <c r="AK30" s="73" t="str">
        <f t="shared" si="29"/>
        <v/>
      </c>
      <c r="AL30" s="73" t="str">
        <f t="shared" si="30"/>
        <v/>
      </c>
      <c r="AM30" s="73" t="str">
        <f t="shared" si="31"/>
        <v/>
      </c>
      <c r="AN30" s="73" t="str">
        <f t="shared" si="32"/>
        <v/>
      </c>
      <c r="AO30" s="73" t="str">
        <f t="shared" si="33"/>
        <v/>
      </c>
      <c r="AP30" s="73" t="str">
        <f t="shared" si="34"/>
        <v/>
      </c>
      <c r="AQ30" s="73" t="str">
        <f t="shared" si="35"/>
        <v/>
      </c>
      <c r="AR30" s="73" t="str">
        <f t="shared" si="36"/>
        <v/>
      </c>
      <c r="AS30" s="73" t="str">
        <f t="shared" si="37"/>
        <v/>
      </c>
      <c r="AT30" s="73" t="str">
        <f t="shared" si="38"/>
        <v/>
      </c>
      <c r="AU30" s="73" t="str">
        <f t="shared" si="39"/>
        <v/>
      </c>
      <c r="AV30" s="73" t="str">
        <f t="shared" si="40"/>
        <v/>
      </c>
      <c r="AW30" s="73" t="str">
        <f t="shared" si="41"/>
        <v/>
      </c>
      <c r="AX30" s="73" t="str">
        <f t="shared" si="42"/>
        <v/>
      </c>
      <c r="AY30" s="73" t="str">
        <f t="shared" si="46"/>
        <v/>
      </c>
      <c r="AZ30" s="73" t="str">
        <f t="shared" si="46"/>
        <v/>
      </c>
      <c r="BA30" s="73" t="str">
        <f t="shared" si="46"/>
        <v/>
      </c>
      <c r="BB30" s="73" t="str">
        <f t="shared" si="44"/>
        <v/>
      </c>
      <c r="BC30" s="3"/>
    </row>
    <row r="31" spans="1:55" s="88" customFormat="1">
      <c r="A31" s="108"/>
      <c r="B31" s="90"/>
      <c r="C31" s="109"/>
      <c r="D31" s="90"/>
      <c r="E31" s="100"/>
      <c r="F31" s="110"/>
      <c r="G31" s="212"/>
      <c r="H31" s="99"/>
      <c r="I31" s="110"/>
      <c r="J31" s="111"/>
      <c r="K31" s="90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</row>
    <row r="32" spans="1:55" s="88" customFormat="1" ht="15" customHeight="1">
      <c r="A32" s="123"/>
      <c r="B32" s="87"/>
      <c r="C32" s="124"/>
      <c r="D32" s="87"/>
      <c r="E32" s="94" t="s">
        <v>17</v>
      </c>
      <c r="F32" s="125"/>
      <c r="G32" s="229"/>
      <c r="H32" s="127"/>
      <c r="I32" s="254" t="s">
        <v>18</v>
      </c>
      <c r="J32" s="254"/>
      <c r="K32" s="255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9" t="s">
        <v>18</v>
      </c>
      <c r="AH32" s="146">
        <f>EXP(AH4*-LN(2)/8.0197)</f>
        <v>1</v>
      </c>
      <c r="AI32" s="146">
        <f>EXP(AI4*-LN(2)/8.0197)</f>
        <v>0.91719923476942955</v>
      </c>
      <c r="AJ32" s="146">
        <f>EXP(AJ4*-LN(2)/8.0197)</f>
        <v>0.8412544362616271</v>
      </c>
      <c r="AK32" s="146">
        <f>EXP(AK4*-LN(2)/8.0197)</f>
        <v>0.707709026529868</v>
      </c>
      <c r="AL32" s="146">
        <f>EXP(AL4*-LN(2)/8.0197)</f>
        <v>0.54606681650553313</v>
      </c>
      <c r="AM32" s="146">
        <f>EXP(AM4*-LN(2)/8.0197)</f>
        <v>0.45938113188054369</v>
      </c>
      <c r="AN32" s="146">
        <f>EXP(AN4*-LN(2)/8.0197)</f>
        <v>0.38645641512939494</v>
      </c>
      <c r="AO32" s="146">
        <f>EXP(AO4*-LN(2)/8.0197)</f>
        <v>0.25085279224871693</v>
      </c>
      <c r="AP32" s="146">
        <f>EXP(AP4*-LN(2)/8.0197)</f>
        <v>0.21103102432784945</v>
      </c>
      <c r="AQ32" s="146">
        <f>EXP(AQ4*-LN(2)/8.0197)</f>
        <v>0.17753078540463868</v>
      </c>
      <c r="AR32" s="146">
        <f>EXP(AR4*-LN(2)/8.0197)</f>
        <v>0.13698238567478072</v>
      </c>
      <c r="AS32" s="146">
        <f>EXP(AS4*-LN(2)/8.0197)</f>
        <v>9.6943670817638009E-2</v>
      </c>
      <c r="AT32" s="146" t="e">
        <f>EXP(AT4*-LN(2)/8.0197)</f>
        <v>#VALUE!</v>
      </c>
      <c r="AU32" s="146" t="e">
        <f>EXP(AU4*-LN(2)/8.0197)</f>
        <v>#VALUE!</v>
      </c>
      <c r="AV32" s="146" t="e">
        <f>EXP(AV4*-LN(2)/8.0197)</f>
        <v>#VALUE!</v>
      </c>
      <c r="AW32" s="146" t="e">
        <f>EXP(AW4*-LN(2)/8.0197)</f>
        <v>#VALUE!</v>
      </c>
      <c r="AX32" s="146" t="e">
        <f>EXP(AX4*-LN(2)/8.0197)</f>
        <v>#VALUE!</v>
      </c>
      <c r="AY32" s="146" t="e">
        <f>EXP(AY4*-LN(2)/8.0197)</f>
        <v>#VALUE!</v>
      </c>
      <c r="AZ32" s="146" t="e">
        <f>EXP(AZ4*-LN(2)/8.0197)</f>
        <v>#VALUE!</v>
      </c>
      <c r="BA32" s="146" t="e">
        <f>EXP(BA4*-LN(2)/8.0197)</f>
        <v>#VALUE!</v>
      </c>
      <c r="BB32" s="146" t="e">
        <f>EXP(BB4*-LN(2)/8.0197)</f>
        <v>#VALUE!</v>
      </c>
      <c r="BC32" s="98"/>
    </row>
    <row r="33" spans="1:55" s="88" customFormat="1">
      <c r="A33" s="123"/>
      <c r="B33" s="87"/>
      <c r="C33" s="124"/>
      <c r="D33" s="87"/>
      <c r="F33" s="125"/>
      <c r="G33" s="229"/>
      <c r="H33" s="127"/>
      <c r="I33" s="128"/>
      <c r="J33" s="126"/>
      <c r="K33" s="8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34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98"/>
    </row>
    <row r="34" spans="1:55" ht="14.25" customHeight="1">
      <c r="A34" s="85"/>
      <c r="B34" s="85"/>
      <c r="C34" s="85"/>
      <c r="D34" s="45"/>
      <c r="E34" s="94" t="s">
        <v>16</v>
      </c>
      <c r="F34" s="86"/>
      <c r="G34" s="213"/>
      <c r="H34" s="82"/>
      <c r="I34" s="252" t="s">
        <v>16</v>
      </c>
      <c r="J34" s="43">
        <f>AVERAGE(J5:J30)</f>
        <v>397.73076923076923</v>
      </c>
      <c r="K34" s="106" t="s">
        <v>9</v>
      </c>
      <c r="L34" s="78">
        <f>AVERAGE(L5:L30)</f>
        <v>397.73076923076923</v>
      </c>
      <c r="M34" s="78">
        <f>AVERAGE(M5:M30)</f>
        <v>297.96153846153845</v>
      </c>
      <c r="N34" s="78">
        <f>AVERAGE(N5:N30)</f>
        <v>256.69230769230768</v>
      </c>
      <c r="O34" s="78">
        <f>AVERAGE(O5:O30)</f>
        <v>202.11538461538461</v>
      </c>
      <c r="P34" s="78">
        <f>AVERAGE(P5:P30)</f>
        <v>143.88461538461539</v>
      </c>
      <c r="Q34" s="78">
        <f>AVERAGE(Q5:Q30)</f>
        <v>116.5</v>
      </c>
      <c r="R34" s="78">
        <f>AVERAGE(R5:R30)</f>
        <v>95.34615384615384</v>
      </c>
      <c r="S34" s="78">
        <f>AVERAGE(S5:S30)</f>
        <v>62.230769230769234</v>
      </c>
      <c r="T34" s="78">
        <f>AVERAGE(T5:T30)</f>
        <v>53.833333333333336</v>
      </c>
      <c r="U34" s="78">
        <f>AVERAGE(U5:U30)</f>
        <v>46.791666666666664</v>
      </c>
      <c r="V34" s="78">
        <f>AVERAGE(V5:V30)</f>
        <v>35.333333333333336</v>
      </c>
      <c r="W34" s="78">
        <f>AVERAGE(W5:W30)</f>
        <v>23.469565217391303</v>
      </c>
      <c r="X34" s="78" t="e">
        <f>AVERAGE(X5:X30)</f>
        <v>#DIV/0!</v>
      </c>
      <c r="Y34" s="78" t="e">
        <f>AVERAGE(Y5:Y30)</f>
        <v>#DIV/0!</v>
      </c>
      <c r="Z34" s="78" t="e">
        <f>AVERAGE(Z5:Z30)</f>
        <v>#DIV/0!</v>
      </c>
      <c r="AA34" s="78" t="e">
        <f>AVERAGE(AA5:AA30)</f>
        <v>#DIV/0!</v>
      </c>
      <c r="AB34" s="78" t="e">
        <f>AVERAGE(AB5:AB30)</f>
        <v>#DIV/0!</v>
      </c>
      <c r="AC34" s="78" t="e">
        <f>AVERAGE(AC5:AC30)</f>
        <v>#DIV/0!</v>
      </c>
      <c r="AD34" s="78" t="e">
        <f>AVERAGE(AD5:AD30)</f>
        <v>#DIV/0!</v>
      </c>
      <c r="AE34" s="78" t="e">
        <f>AVERAGE(AE5:AE30)</f>
        <v>#DIV/0!</v>
      </c>
      <c r="AF34" s="78" t="e">
        <f>AVERAGE(AF5:AF30)</f>
        <v>#DIV/0!</v>
      </c>
      <c r="AG34" s="129" t="s">
        <v>9</v>
      </c>
      <c r="AH34" s="73">
        <f>AVERAGE(AH5:AH30)</f>
        <v>1</v>
      </c>
      <c r="AI34" s="73">
        <f>AVERAGE(AI5:AI30)</f>
        <v>0.70740260715067871</v>
      </c>
      <c r="AJ34" s="73">
        <f>AVERAGE(AJ5:AJ30)</f>
        <v>0.61357350142672784</v>
      </c>
      <c r="AK34" s="73">
        <f>AVERAGE(AK5:AK30)</f>
        <v>0.48904525719911179</v>
      </c>
      <c r="AL34" s="73">
        <f>AVERAGE(AL5:AL30)</f>
        <v>0.34568526691470047</v>
      </c>
      <c r="AM34" s="73">
        <f>AVERAGE(AM5:AM30)</f>
        <v>0.28111287347461966</v>
      </c>
      <c r="AN34" s="73">
        <f>AVERAGE(AN5:AN30)</f>
        <v>0.23180674182194638</v>
      </c>
      <c r="AO34" s="73">
        <f>AVERAGE(AO5:AO30)</f>
        <v>0.15081923602818104</v>
      </c>
      <c r="AP34" s="73">
        <f>AVERAGE(AP5:AP30)</f>
        <v>0.13092871785598786</v>
      </c>
      <c r="AQ34" s="73">
        <f>AVERAGE(AQ5:AQ30)</f>
        <v>0.1143138849877265</v>
      </c>
      <c r="AR34" s="73">
        <f>AVERAGE(AR5:AR30)</f>
        <v>8.6487201476530842E-2</v>
      </c>
      <c r="AS34" s="73">
        <f>AVERAGE(AS5:AS30)</f>
        <v>5.4222645931365075E-2</v>
      </c>
      <c r="AT34" s="73" t="e">
        <f>AVERAGE(AT5:AT30)</f>
        <v>#DIV/0!</v>
      </c>
      <c r="AU34" s="73" t="e">
        <f>AVERAGE(AU5:AU30)</f>
        <v>#DIV/0!</v>
      </c>
      <c r="AV34" s="73" t="e">
        <f>AVERAGE(AV5:AV30)</f>
        <v>#DIV/0!</v>
      </c>
      <c r="AW34" s="73" t="e">
        <f>AVERAGE(AW5:AW30)</f>
        <v>#DIV/0!</v>
      </c>
      <c r="AX34" s="73" t="e">
        <f>AVERAGE(AX5:AX30)</f>
        <v>#DIV/0!</v>
      </c>
      <c r="AY34" s="73" t="e">
        <f>AVERAGE(AY5:AY30)</f>
        <v>#DIV/0!</v>
      </c>
      <c r="AZ34" s="73" t="e">
        <f>AVERAGE(AZ5:AZ30)</f>
        <v>#DIV/0!</v>
      </c>
      <c r="BA34" s="73" t="e">
        <f>AVERAGE(BA5:BA30)</f>
        <v>#DIV/0!</v>
      </c>
      <c r="BB34" s="73" t="e">
        <f>AVERAGE(BB5:BB30)</f>
        <v>#DIV/0!</v>
      </c>
      <c r="BC34" s="76"/>
    </row>
    <row r="35" spans="1:55" ht="14.25" customHeight="1">
      <c r="A35" s="46"/>
      <c r="B35" s="45"/>
      <c r="C35" s="47"/>
      <c r="D35" s="45"/>
      <c r="E35" s="92"/>
      <c r="F35" s="71"/>
      <c r="G35" s="213"/>
      <c r="H35" s="82"/>
      <c r="I35" s="252"/>
      <c r="J35" s="43">
        <f>_xlfn.STDEV.P(J5:J30)</f>
        <v>512.00034237460818</v>
      </c>
      <c r="K35" s="106" t="s">
        <v>11</v>
      </c>
      <c r="L35" s="81">
        <f>STDEVA(L5:L30)</f>
        <v>522.13994734686275</v>
      </c>
      <c r="M35" s="81">
        <f>STDEVA(M5:M30)</f>
        <v>409.69271223874421</v>
      </c>
      <c r="N35" s="81">
        <f>STDEVA(N5:N30)</f>
        <v>350.34517484683806</v>
      </c>
      <c r="O35" s="81">
        <f>STDEVA(O5:O30)</f>
        <v>271.29427961873091</v>
      </c>
      <c r="P35" s="81">
        <f>STDEVA(P5:P30)</f>
        <v>191.3263864547861</v>
      </c>
      <c r="Q35" s="81">
        <f>STDEVA(Q5:Q30)</f>
        <v>154.20252916213792</v>
      </c>
      <c r="R35" s="81">
        <f>STDEVA(R5:R30)</f>
        <v>124.53881075638785</v>
      </c>
      <c r="S35" s="81">
        <f>STDEVA(S5:S30)</f>
        <v>81.09219823993314</v>
      </c>
      <c r="T35" s="81">
        <f>STDEVA(T5:T30)</f>
        <v>67.45734025014022</v>
      </c>
      <c r="U35" s="81">
        <f>STDEVA(U5:U30)</f>
        <v>58.16167808017105</v>
      </c>
      <c r="V35" s="81">
        <f>STDEVA(V5:V30)</f>
        <v>43.824419107900646</v>
      </c>
      <c r="W35" s="81">
        <f>STDEVA(W5:W30)</f>
        <v>28.843802466239826</v>
      </c>
      <c r="X35" s="81" t="e">
        <f>STDEVA(X5:X30)</f>
        <v>#DIV/0!</v>
      </c>
      <c r="Y35" s="81" t="e">
        <f>STDEVA(Y5:Y30)</f>
        <v>#DIV/0!</v>
      </c>
      <c r="Z35" s="81" t="e">
        <f>STDEVA(Z5:Z30)</f>
        <v>#DIV/0!</v>
      </c>
      <c r="AA35" s="81" t="e">
        <f>STDEVA(AA5:AA30)</f>
        <v>#DIV/0!</v>
      </c>
      <c r="AB35" s="81" t="e">
        <f>STDEVA(AB5:AB30)</f>
        <v>#DIV/0!</v>
      </c>
      <c r="AC35" s="81" t="e">
        <f>STDEVA(AC5:AC30)</f>
        <v>#DIV/0!</v>
      </c>
      <c r="AD35" s="81" t="e">
        <f>STDEVA(AD5:AD30)</f>
        <v>#DIV/0!</v>
      </c>
      <c r="AE35" s="81" t="e">
        <f>STDEVA(AE5:AE30)</f>
        <v>#DIV/0!</v>
      </c>
      <c r="AF35" s="81" t="e">
        <f>STDEVA(AF5:AF30)</f>
        <v>#DIV/0!</v>
      </c>
      <c r="AG35" s="135" t="s">
        <v>11</v>
      </c>
      <c r="AH35" s="74">
        <f>STDEVA(AH5:AH30)</f>
        <v>0.50990195135927852</v>
      </c>
      <c r="AI35" s="74">
        <f>STDEVA(AI5:AI30)</f>
        <v>0.36955099530342189</v>
      </c>
      <c r="AJ35" s="74">
        <f>STDEVA(AJ5:AJ30)</f>
        <v>0.31950582994609777</v>
      </c>
      <c r="AK35" s="74">
        <f>STDEVA(AK5:AK30)</f>
        <v>0.2532972964984711</v>
      </c>
      <c r="AL35" s="74">
        <f>STDEVA(AL5:AL30)</f>
        <v>0.18182946989935275</v>
      </c>
      <c r="AM35" s="74">
        <f>STDEVA(AM5:AM30)</f>
        <v>0.14781409241917279</v>
      </c>
      <c r="AN35" s="74">
        <f>STDEVA(AN5:AN30)</f>
        <v>0.12183240554716336</v>
      </c>
      <c r="AO35" s="74">
        <f>STDEVA(AO5:AO30)</f>
        <v>7.9142272202965838E-2</v>
      </c>
      <c r="AP35" s="74">
        <f>STDEVA(AP5:AP30)</f>
        <v>6.6114136304179325E-2</v>
      </c>
      <c r="AQ35" s="74">
        <f>STDEVA(AQ5:AQ30)</f>
        <v>5.7770497031254052E-2</v>
      </c>
      <c r="AR35" s="74">
        <f>STDEVA(AR5:AR30)</f>
        <v>4.3798356510928484E-2</v>
      </c>
      <c r="AS35" s="74">
        <f>STDEVA(AS5:AS30)</f>
        <v>2.7358649808103774E-2</v>
      </c>
      <c r="AT35" s="74">
        <f>STDEVA(AT5:AT30)</f>
        <v>0</v>
      </c>
      <c r="AU35" s="74">
        <f>STDEVA(AU5:AU30)</f>
        <v>0</v>
      </c>
      <c r="AV35" s="74">
        <f>STDEVA(AV5:AV30)</f>
        <v>0</v>
      </c>
      <c r="AW35" s="74">
        <f>STDEVA(AW5:AW30)</f>
        <v>0</v>
      </c>
      <c r="AX35" s="74">
        <f>STDEVA(AX5:AX30)</f>
        <v>0</v>
      </c>
      <c r="AY35" s="74">
        <f>STDEVA(AY5:AY30)</f>
        <v>0</v>
      </c>
      <c r="AZ35" s="74">
        <f>STDEVA(AZ5:AZ30)</f>
        <v>0</v>
      </c>
      <c r="BA35" s="74">
        <f>STDEVA(BA5:BA30)</f>
        <v>0</v>
      </c>
      <c r="BB35" s="74">
        <f>STDEVA(BB5:BB30)</f>
        <v>0</v>
      </c>
      <c r="BC35" s="76"/>
    </row>
    <row r="36" spans="1:55" ht="12.75" customHeight="1">
      <c r="A36" s="113"/>
      <c r="E36" s="93"/>
      <c r="K36" s="132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132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130"/>
    </row>
    <row r="37" spans="1:55" ht="14.25" customHeight="1">
      <c r="A37" s="113"/>
      <c r="E37" s="118" t="str">
        <f>'FIG6 Groups'!C6</f>
        <v>AsPc-1 - Control</v>
      </c>
      <c r="I37" s="118" t="str">
        <f>E37</f>
        <v>AsPc-1 - Control</v>
      </c>
      <c r="J37" s="107">
        <f>AVERAGEIF($E$5:$E$30,$E37,J$5:J$30)</f>
        <v>0</v>
      </c>
      <c r="K37" s="106" t="s">
        <v>9</v>
      </c>
      <c r="L37" s="78">
        <f>AVERAGEIF($E$5:$E$30,$E37,L$5:L$30)</f>
        <v>0</v>
      </c>
      <c r="M37" s="78">
        <f>AVERAGEIF($E$5:$E$30,$E37,M$5:M$30)</f>
        <v>0</v>
      </c>
      <c r="N37" s="78">
        <f>AVERAGEIF($E$5:$E$30,$E37,N$5:N$30)</f>
        <v>0</v>
      </c>
      <c r="O37" s="78">
        <f>AVERAGEIF($E$5:$E$30,$E37,O$5:O$30)</f>
        <v>0</v>
      </c>
      <c r="P37" s="78">
        <f>AVERAGEIF($E$5:$E$30,$E37,P$5:P$30)</f>
        <v>0</v>
      </c>
      <c r="Q37" s="78">
        <f>AVERAGEIF($E$5:$E$30,$E37,Q$5:Q$30)</f>
        <v>0</v>
      </c>
      <c r="R37" s="78">
        <f>AVERAGEIF($E$5:$E$30,$E37,R$5:R$30)</f>
        <v>0</v>
      </c>
      <c r="S37" s="78">
        <f>AVERAGEIF($E$5:$E$30,$E37,S$5:S$30)</f>
        <v>0</v>
      </c>
      <c r="T37" s="78">
        <f>AVERAGEIF($E$5:$E$30,$E37,T$5:T$30)</f>
        <v>0</v>
      </c>
      <c r="U37" s="78">
        <f>AVERAGEIF($E$5:$E$30,$E37,U$5:U$30)</f>
        <v>0</v>
      </c>
      <c r="V37" s="78">
        <f>AVERAGEIF($E$5:$E$30,$E37,V$5:V$30)</f>
        <v>0</v>
      </c>
      <c r="W37" s="78">
        <f>AVERAGEIF($E$5:$E$30,$E37,W$5:W$30)</f>
        <v>0</v>
      </c>
      <c r="X37" s="78" t="e">
        <f>AVERAGEIF($E$5:$E$30,$E37,X$5:X$30)</f>
        <v>#DIV/0!</v>
      </c>
      <c r="Y37" s="78" t="e">
        <f>AVERAGEIF($E$5:$E$30,$E37,Y$5:Y$30)</f>
        <v>#DIV/0!</v>
      </c>
      <c r="Z37" s="78" t="e">
        <f>AVERAGEIF($E$5:$E$30,$E37,Z$5:Z$30)</f>
        <v>#DIV/0!</v>
      </c>
      <c r="AA37" s="78" t="e">
        <f>AVERAGEIF($E$5:$E$30,$E37,AA$5:AA$30)</f>
        <v>#DIV/0!</v>
      </c>
      <c r="AB37" s="78" t="e">
        <f>AVERAGEIF($E$5:$E$30,$E37,AB$5:AB$30)</f>
        <v>#DIV/0!</v>
      </c>
      <c r="AC37" s="78" t="e">
        <f>AVERAGEIF($E$5:$E$30,$E37,AC$5:AC$30)</f>
        <v>#DIV/0!</v>
      </c>
      <c r="AD37" s="78" t="e">
        <f>AVERAGEIF($E$5:$E$30,$E37,AD$5:AD$30)</f>
        <v>#DIV/0!</v>
      </c>
      <c r="AE37" s="78" t="e">
        <f>AVERAGEIF($E$5:$E$30,$E37,AE$5:AE$30)</f>
        <v>#DIV/0!</v>
      </c>
      <c r="AF37" s="78" t="e">
        <f>AVERAGEIF($E$5:$E$30,$E37,AF$5:AF$30)</f>
        <v>#DIV/0!</v>
      </c>
      <c r="AG37" s="136" t="s">
        <v>9</v>
      </c>
      <c r="AH37" s="73" t="e">
        <f>AVERAGEIF($E$5:$E$30,$E37,AH$5:AH$30)</f>
        <v>#DIV/0!</v>
      </c>
      <c r="AI37" s="73" t="e">
        <f>AVERAGEIF($E$5:$E$30,$E37,AI$5:AI$30)</f>
        <v>#DIV/0!</v>
      </c>
      <c r="AJ37" s="73" t="e">
        <f>AVERAGEIF($E$5:$E$30,$E37,AJ$5:AJ$30)</f>
        <v>#DIV/0!</v>
      </c>
      <c r="AK37" s="73" t="e">
        <f>AVERAGEIF($E$5:$E$30,$E37,AK$5:AK$30)</f>
        <v>#DIV/0!</v>
      </c>
      <c r="AL37" s="73" t="e">
        <f>AVERAGEIF($E$5:$E$30,$E37,AL$5:AL$30)</f>
        <v>#DIV/0!</v>
      </c>
      <c r="AM37" s="73" t="e">
        <f>AVERAGEIF($E$5:$E$30,$E37,AM$5:AM$30)</f>
        <v>#DIV/0!</v>
      </c>
      <c r="AN37" s="73" t="e">
        <f>AVERAGEIF($E$5:$E$30,$E37,AN$5:AN$30)</f>
        <v>#DIV/0!</v>
      </c>
      <c r="AO37" s="73" t="e">
        <f>AVERAGEIF($E$5:$E$30,$E37,AO$5:AO$30)</f>
        <v>#DIV/0!</v>
      </c>
      <c r="AP37" s="73" t="e">
        <f>AVERAGEIF($E$5:$E$30,$E37,AP$5:AP$30)</f>
        <v>#DIV/0!</v>
      </c>
      <c r="AQ37" s="73" t="e">
        <f>AVERAGEIF($E$5:$E$30,$E37,AQ$5:AQ$30)</f>
        <v>#DIV/0!</v>
      </c>
      <c r="AR37" s="73" t="e">
        <f>AVERAGEIF($E$5:$E$30,$E37,AR$5:AR$30)</f>
        <v>#DIV/0!</v>
      </c>
      <c r="AS37" s="73" t="e">
        <f>AVERAGEIF($E$5:$E$30,$E37,AS$5:AS$30)</f>
        <v>#DIV/0!</v>
      </c>
      <c r="AT37" s="73" t="e">
        <f>AVERAGEIF($E$5:$E$30,$E37,AT$5:AT$30)</f>
        <v>#DIV/0!</v>
      </c>
      <c r="AU37" s="73" t="e">
        <f>AVERAGEIF($E$5:$E$30,$E37,AU$5:AU$30)</f>
        <v>#DIV/0!</v>
      </c>
      <c r="AV37" s="73" t="e">
        <f>AVERAGEIF($E$5:$E$30,$E37,AV$5:AV$30)</f>
        <v>#DIV/0!</v>
      </c>
      <c r="AW37" s="73" t="e">
        <f>AVERAGEIF($E$5:$E$30,$E37,AW$5:AW$30)</f>
        <v>#DIV/0!</v>
      </c>
      <c r="AX37" s="73" t="e">
        <f>AVERAGEIF($E$5:$E$30,$E37,AX$5:AX$30)</f>
        <v>#DIV/0!</v>
      </c>
      <c r="AY37" s="73" t="e">
        <f>AVERAGEIF($E$5:$E$30,$E37,AY$5:AY$30)</f>
        <v>#DIV/0!</v>
      </c>
      <c r="AZ37" s="73" t="e">
        <f>AVERAGEIF($E$5:$E$30,$E37,AZ$5:AZ$30)</f>
        <v>#DIV/0!</v>
      </c>
      <c r="BA37" s="73" t="e">
        <f>AVERAGEIF($E$5:$E$30,$E37,BA$5:BA$30)</f>
        <v>#DIV/0!</v>
      </c>
      <c r="BB37" s="73" t="e">
        <f>AVERAGEIF($E$5:$E$30,$E37,BB$5:BB$30)</f>
        <v>#DIV/0!</v>
      </c>
      <c r="BC37" s="76"/>
    </row>
    <row r="38" spans="1:55" ht="14.25" customHeight="1">
      <c r="A38" s="113"/>
      <c r="E38" s="93"/>
      <c r="I38" s="93"/>
      <c r="J38" s="107">
        <f t="array" ref="J38">_xlfn.STDEV.P(IF($E$5:$E$30=$E37,J$5:J$30))</f>
        <v>0</v>
      </c>
      <c r="K38" s="106" t="s">
        <v>11</v>
      </c>
      <c r="L38" s="78">
        <f t="array" ref="L38">_xlfn.STDEV.P(IF($E$5:$E$30=$E37,L$5:L$30))</f>
        <v>0</v>
      </c>
      <c r="M38" s="78">
        <f t="array" ref="M38">_xlfn.STDEV.P(IF($E$5:$E$30=$E37,M$5:M$30))</f>
        <v>0</v>
      </c>
      <c r="N38" s="78">
        <f t="array" ref="N38">_xlfn.STDEV.P(IF($E$5:$E$30=$E37,N$5:N$30))</f>
        <v>0</v>
      </c>
      <c r="O38" s="78">
        <f t="array" ref="O38">_xlfn.STDEV.P(IF($E$5:$E$30=$E37,O$5:O$30))</f>
        <v>0</v>
      </c>
      <c r="P38" s="78">
        <f t="array" ref="P38">_xlfn.STDEV.P(IF($E$5:$E$30=$E37,P$5:P$30))</f>
        <v>0</v>
      </c>
      <c r="Q38" s="78">
        <f t="array" ref="Q38">_xlfn.STDEV.P(IF($E$5:$E$30=$E37,Q$5:Q$30))</f>
        <v>0</v>
      </c>
      <c r="R38" s="78">
        <f t="array" ref="R38">_xlfn.STDEV.P(IF($E$5:$E$30=$E37,R$5:R$30))</f>
        <v>0</v>
      </c>
      <c r="S38" s="78">
        <f t="array" ref="S38">_xlfn.STDEV.P(IF($E$5:$E$30=$E37,S$5:S$30))</f>
        <v>0</v>
      </c>
      <c r="T38" s="78">
        <f t="array" ref="T38">_xlfn.STDEV.P(IF($E$5:$E$30=$E37,T$5:T$30))</f>
        <v>0</v>
      </c>
      <c r="U38" s="78">
        <f t="array" ref="U38">_xlfn.STDEV.P(IF($E$5:$E$30=$E37,U$5:U$30))</f>
        <v>0</v>
      </c>
      <c r="V38" s="78">
        <f t="array" ref="V38">_xlfn.STDEV.P(IF($E$5:$E$30=$E37,V$5:V$30))</f>
        <v>0</v>
      </c>
      <c r="W38" s="78">
        <f t="array" ref="W38">_xlfn.STDEV.P(IF($E$5:$E$30=$E37,W$5:W$30))</f>
        <v>0</v>
      </c>
      <c r="X38" s="78">
        <f t="array" ref="X38">_xlfn.STDEV.P(IF($E$5:$E$30=$E37,X$5:X$30))</f>
        <v>0</v>
      </c>
      <c r="Y38" s="78">
        <f t="array" ref="Y38">_xlfn.STDEV.P(IF($E$5:$E$30=$E37,Y$5:Y$30))</f>
        <v>0</v>
      </c>
      <c r="Z38" s="78">
        <f t="array" ref="Z38">_xlfn.STDEV.P(IF($E$5:$E$30=$E37,Z$5:Z$30))</f>
        <v>0</v>
      </c>
      <c r="AA38" s="78">
        <f t="array" ref="AA38">_xlfn.STDEV.P(IF($E$5:$E$30=$E37,AA$5:AA$30))</f>
        <v>0</v>
      </c>
      <c r="AB38" s="78">
        <f t="array" ref="AB38">_xlfn.STDEV.P(IF($E$5:$E$30=$E37,AB$5:AB$30))</f>
        <v>0</v>
      </c>
      <c r="AC38" s="78">
        <f t="array" ref="AC38">_xlfn.STDEV.P(IF($E$5:$E$30=$E37,AC$5:AC$30))</f>
        <v>0</v>
      </c>
      <c r="AD38" s="78">
        <f t="array" ref="AD38">_xlfn.STDEV.P(IF($E$5:$E$30=$E37,AD$5:AD$30))</f>
        <v>0</v>
      </c>
      <c r="AE38" s="78">
        <f t="array" ref="AE38">_xlfn.STDEV.P(IF($E$5:$E$30=$E37,AE$5:AE$30))</f>
        <v>0</v>
      </c>
      <c r="AF38" s="78">
        <f t="array" ref="AF38">_xlfn.STDEV.P(IF($E$5:$E$30=$E37,AF$5:AF$30))</f>
        <v>0</v>
      </c>
      <c r="AG38" s="137" t="s">
        <v>11</v>
      </c>
      <c r="AH38" s="74" t="e">
        <f t="array" ref="AH38">_xlfn.STDEV.P(IF($E$5:$E$30=$E37,AH$5:AH$30))</f>
        <v>#DIV/0!</v>
      </c>
      <c r="AI38" s="74" t="e">
        <f t="array" ref="AI38">_xlfn.STDEV.P(IF($E$5:$E$30=$E37,AI$5:AI$30))</f>
        <v>#DIV/0!</v>
      </c>
      <c r="AJ38" s="74" t="e">
        <f t="array" ref="AJ38">_xlfn.STDEV.P(IF($E$5:$E$30=$E37,AJ$5:AJ$30))</f>
        <v>#DIV/0!</v>
      </c>
      <c r="AK38" s="74" t="e">
        <f t="array" ref="AK38">_xlfn.STDEV.P(IF($E$5:$E$30=$E37,AK$5:AK$30))</f>
        <v>#DIV/0!</v>
      </c>
      <c r="AL38" s="74" t="e">
        <f t="array" ref="AL38">_xlfn.STDEV.P(IF($E$5:$E$30=$E37,AL$5:AL$30))</f>
        <v>#DIV/0!</v>
      </c>
      <c r="AM38" s="74" t="e">
        <f t="array" ref="AM38">_xlfn.STDEV.P(IF($E$5:$E$30=$E37,AM$5:AM$30))</f>
        <v>#DIV/0!</v>
      </c>
      <c r="AN38" s="74" t="e">
        <f t="array" ref="AN38">_xlfn.STDEV.P(IF($E$5:$E$30=$E37,AN$5:AN$30))</f>
        <v>#DIV/0!</v>
      </c>
      <c r="AO38" s="74" t="e">
        <f t="array" ref="AO38">_xlfn.STDEV.P(IF($E$5:$E$30=$E37,AO$5:AO$30))</f>
        <v>#DIV/0!</v>
      </c>
      <c r="AP38" s="74" t="e">
        <f t="array" ref="AP38">_xlfn.STDEV.P(IF($E$5:$E$30=$E37,AP$5:AP$30))</f>
        <v>#DIV/0!</v>
      </c>
      <c r="AQ38" s="74" t="e">
        <f t="array" ref="AQ38">_xlfn.STDEV.P(IF($E$5:$E$30=$E37,AQ$5:AQ$30))</f>
        <v>#DIV/0!</v>
      </c>
      <c r="AR38" s="74" t="e">
        <f t="array" ref="AR38">_xlfn.STDEV.P(IF($E$5:$E$30=$E37,AR$5:AR$30))</f>
        <v>#DIV/0!</v>
      </c>
      <c r="AS38" s="74" t="e">
        <f t="array" ref="AS38">_xlfn.STDEV.P(IF($E$5:$E$30=$E37,AS$5:AS$30))</f>
        <v>#DIV/0!</v>
      </c>
      <c r="AT38" s="74" t="e">
        <f t="array" ref="AT38">_xlfn.STDEV.P(IF($E$5:$E$30=$E37,AT$5:AT$30))</f>
        <v>#DIV/0!</v>
      </c>
      <c r="AU38" s="74" t="e">
        <f t="array" ref="AU38">_xlfn.STDEV.P(IF($E$5:$E$30=$E37,AU$5:AU$30))</f>
        <v>#DIV/0!</v>
      </c>
      <c r="AV38" s="74" t="e">
        <f t="array" ref="AV38">_xlfn.STDEV.P(IF($E$5:$E$30=$E37,AV$5:AV$30))</f>
        <v>#DIV/0!</v>
      </c>
      <c r="AW38" s="74" t="e">
        <f t="array" ref="AW38">_xlfn.STDEV.P(IF($E$5:$E$30=$E37,AW$5:AW$30))</f>
        <v>#DIV/0!</v>
      </c>
      <c r="AX38" s="74" t="e">
        <f t="array" ref="AX38">_xlfn.STDEV.P(IF($E$5:$E$30=$E37,AX$5:AX$30))</f>
        <v>#DIV/0!</v>
      </c>
      <c r="AY38" s="74">
        <f t="array" ref="AY38">_xlfn.STDEV.P(IF($E$5:$E$30=$E37,AY$5:AY$30))</f>
        <v>0</v>
      </c>
      <c r="AZ38" s="74">
        <f t="array" ref="AZ38">_xlfn.STDEV.P(IF($E$5:$E$30=$E37,AZ$5:AZ$30))</f>
        <v>0</v>
      </c>
      <c r="BA38" s="74" t="e">
        <f t="array" ref="BA38">_xlfn.STDEV.P(IF($E$5:$E$30=$E37,BA$5:BA$30))</f>
        <v>#DIV/0!</v>
      </c>
      <c r="BB38" s="74" t="e">
        <f t="array" ref="BB38">_xlfn.STDEV.P(IF($E$5:$E$30=$E37,BB$5:BB$30))</f>
        <v>#DIV/0!</v>
      </c>
      <c r="BC38" s="76"/>
    </row>
    <row r="39" spans="1:55" ht="14.25" customHeight="1">
      <c r="A39" s="113"/>
      <c r="E39" s="93"/>
      <c r="I39" s="93"/>
      <c r="J39" s="107"/>
      <c r="K39" s="131" t="s">
        <v>34</v>
      </c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131" t="s">
        <v>34</v>
      </c>
      <c r="AH39" s="73" t="e">
        <f>AH37-AH$32</f>
        <v>#DIV/0!</v>
      </c>
      <c r="AI39" s="73" t="e">
        <f>AI37-AI$32</f>
        <v>#DIV/0!</v>
      </c>
      <c r="AJ39" s="73" t="e">
        <f t="shared" ref="AJ39:AX39" si="47">AJ37-AJ$32</f>
        <v>#DIV/0!</v>
      </c>
      <c r="AK39" s="73" t="e">
        <f t="shared" si="47"/>
        <v>#DIV/0!</v>
      </c>
      <c r="AL39" s="73" t="e">
        <f t="shared" si="47"/>
        <v>#DIV/0!</v>
      </c>
      <c r="AM39" s="73" t="e">
        <f t="shared" si="47"/>
        <v>#DIV/0!</v>
      </c>
      <c r="AN39" s="73" t="e">
        <f t="shared" si="47"/>
        <v>#DIV/0!</v>
      </c>
      <c r="AO39" s="73" t="e">
        <f t="shared" si="47"/>
        <v>#DIV/0!</v>
      </c>
      <c r="AP39" s="73" t="e">
        <f t="shared" si="47"/>
        <v>#DIV/0!</v>
      </c>
      <c r="AQ39" s="73" t="e">
        <f t="shared" si="47"/>
        <v>#DIV/0!</v>
      </c>
      <c r="AR39" s="73" t="e">
        <f t="shared" si="47"/>
        <v>#DIV/0!</v>
      </c>
      <c r="AS39" s="73" t="e">
        <f t="shared" si="47"/>
        <v>#DIV/0!</v>
      </c>
      <c r="AT39" s="73" t="e">
        <f t="shared" si="47"/>
        <v>#DIV/0!</v>
      </c>
      <c r="AU39" s="73" t="e">
        <f t="shared" si="47"/>
        <v>#DIV/0!</v>
      </c>
      <c r="AV39" s="73" t="e">
        <f t="shared" si="47"/>
        <v>#DIV/0!</v>
      </c>
      <c r="AW39" s="73" t="e">
        <f t="shared" si="47"/>
        <v>#DIV/0!</v>
      </c>
      <c r="AX39" s="73" t="e">
        <f t="shared" si="47"/>
        <v>#DIV/0!</v>
      </c>
      <c r="AY39" s="73" t="e">
        <f>AY37-AY$32</f>
        <v>#DIV/0!</v>
      </c>
      <c r="AZ39" s="73" t="e">
        <f>AZ37-AZ$32</f>
        <v>#DIV/0!</v>
      </c>
      <c r="BA39" s="73" t="e">
        <f>BA37-BA$32</f>
        <v>#DIV/0!</v>
      </c>
      <c r="BB39" s="73" t="e">
        <f>BB37-BB$32</f>
        <v>#DIV/0!</v>
      </c>
      <c r="BC39" s="130"/>
    </row>
    <row r="40" spans="1:55" ht="14.25" customHeight="1">
      <c r="A40" s="113"/>
      <c r="E40" s="93"/>
      <c r="I40" s="93"/>
      <c r="J40" s="107"/>
      <c r="K40" s="105" t="s">
        <v>48</v>
      </c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105" t="s">
        <v>48</v>
      </c>
      <c r="AH40" s="73"/>
      <c r="AI40" s="73" t="e">
        <f>AH37*EXP((AI$4-AH$4)*-LN(2)/8.091)</f>
        <v>#DIV/0!</v>
      </c>
      <c r="AJ40" s="73" t="e">
        <f>AI37*EXP((AJ$4-AI$4)*-LN(2)/8.091)</f>
        <v>#DIV/0!</v>
      </c>
      <c r="AK40" s="73" t="e">
        <f t="shared" ref="AK40:AX40" si="48">AJ37*EXP((AK$4-AJ$4)*-LN(2)/8.091)</f>
        <v>#DIV/0!</v>
      </c>
      <c r="AL40" s="73" t="e">
        <f t="shared" si="48"/>
        <v>#DIV/0!</v>
      </c>
      <c r="AM40" s="73" t="e">
        <f t="shared" si="48"/>
        <v>#DIV/0!</v>
      </c>
      <c r="AN40" s="73" t="e">
        <f t="shared" si="48"/>
        <v>#DIV/0!</v>
      </c>
      <c r="AO40" s="73" t="e">
        <f t="shared" si="48"/>
        <v>#DIV/0!</v>
      </c>
      <c r="AP40" s="73" t="e">
        <f t="shared" si="48"/>
        <v>#DIV/0!</v>
      </c>
      <c r="AQ40" s="73" t="e">
        <f t="shared" si="48"/>
        <v>#DIV/0!</v>
      </c>
      <c r="AR40" s="73" t="e">
        <f t="shared" si="48"/>
        <v>#DIV/0!</v>
      </c>
      <c r="AS40" s="73" t="e">
        <f t="shared" si="48"/>
        <v>#DIV/0!</v>
      </c>
      <c r="AT40" s="73" t="e">
        <f t="shared" si="48"/>
        <v>#DIV/0!</v>
      </c>
      <c r="AU40" s="73" t="e">
        <f t="shared" si="48"/>
        <v>#DIV/0!</v>
      </c>
      <c r="AV40" s="73" t="e">
        <f t="shared" si="48"/>
        <v>#DIV/0!</v>
      </c>
      <c r="AW40" s="73" t="e">
        <f t="shared" si="48"/>
        <v>#DIV/0!</v>
      </c>
      <c r="AX40" s="73" t="e">
        <f t="shared" si="48"/>
        <v>#DIV/0!</v>
      </c>
      <c r="AY40" s="73" t="e">
        <f>AX37*EXP((AY$4-AX$4)*-LN(2)/8.091)</f>
        <v>#DIV/0!</v>
      </c>
      <c r="AZ40" s="73" t="e">
        <f>AY37*EXP((AZ$4-AY$4)*-LN(2)/8.091)</f>
        <v>#DIV/0!</v>
      </c>
      <c r="BA40" s="73" t="e">
        <f>AZ37*EXP((BA$4-AZ$4)*-LN(2)/8.091)</f>
        <v>#DIV/0!</v>
      </c>
      <c r="BB40" s="73" t="e">
        <f>BA37*EXP((BB$4-BA$4)*-LN(2)/8.091)</f>
        <v>#DIV/0!</v>
      </c>
      <c r="BC40" s="130"/>
    </row>
    <row r="41" spans="1:55" ht="14.25" customHeight="1">
      <c r="A41" s="113"/>
      <c r="E41" s="93"/>
      <c r="I41" s="93"/>
      <c r="J41" s="107"/>
      <c r="K41" s="105" t="s">
        <v>35</v>
      </c>
      <c r="L41" s="80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105" t="s">
        <v>35</v>
      </c>
      <c r="AH41" s="147"/>
      <c r="AI41" s="74" t="e">
        <f>AI37-AI40</f>
        <v>#DIV/0!</v>
      </c>
      <c r="AJ41" s="74" t="e">
        <f>AJ37-AJ40</f>
        <v>#DIV/0!</v>
      </c>
      <c r="AK41" s="74" t="e">
        <f t="shared" ref="AK41:AX41" si="49">AK37-AK40</f>
        <v>#DIV/0!</v>
      </c>
      <c r="AL41" s="74" t="e">
        <f t="shared" si="49"/>
        <v>#DIV/0!</v>
      </c>
      <c r="AM41" s="74" t="e">
        <f t="shared" si="49"/>
        <v>#DIV/0!</v>
      </c>
      <c r="AN41" s="74" t="e">
        <f t="shared" si="49"/>
        <v>#DIV/0!</v>
      </c>
      <c r="AO41" s="74" t="e">
        <f t="shared" si="49"/>
        <v>#DIV/0!</v>
      </c>
      <c r="AP41" s="74" t="e">
        <f t="shared" si="49"/>
        <v>#DIV/0!</v>
      </c>
      <c r="AQ41" s="74" t="e">
        <f t="shared" si="49"/>
        <v>#DIV/0!</v>
      </c>
      <c r="AR41" s="74" t="e">
        <f t="shared" si="49"/>
        <v>#DIV/0!</v>
      </c>
      <c r="AS41" s="74" t="e">
        <f t="shared" si="49"/>
        <v>#DIV/0!</v>
      </c>
      <c r="AT41" s="74" t="e">
        <f t="shared" si="49"/>
        <v>#DIV/0!</v>
      </c>
      <c r="AU41" s="74" t="e">
        <f t="shared" si="49"/>
        <v>#DIV/0!</v>
      </c>
      <c r="AV41" s="74" t="e">
        <f t="shared" si="49"/>
        <v>#DIV/0!</v>
      </c>
      <c r="AW41" s="74" t="e">
        <f t="shared" si="49"/>
        <v>#DIV/0!</v>
      </c>
      <c r="AX41" s="74" t="e">
        <f t="shared" si="49"/>
        <v>#DIV/0!</v>
      </c>
      <c r="AY41" s="74" t="e">
        <f>AY37-AY40</f>
        <v>#DIV/0!</v>
      </c>
      <c r="AZ41" s="74" t="e">
        <f>AZ37-AZ40</f>
        <v>#DIV/0!</v>
      </c>
      <c r="BA41" s="74" t="e">
        <f>BA37-BA40</f>
        <v>#DIV/0!</v>
      </c>
      <c r="BB41" s="74" t="e">
        <f>BB37-BB40</f>
        <v>#DIV/0!</v>
      </c>
      <c r="BC41" s="130"/>
    </row>
    <row r="42" spans="1:55" ht="14.25" customHeight="1">
      <c r="A42" s="113"/>
      <c r="E42" s="93"/>
      <c r="I42" s="93"/>
      <c r="J42" s="107"/>
      <c r="K42" s="105" t="s">
        <v>49</v>
      </c>
      <c r="L42" s="80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105" t="s">
        <v>49</v>
      </c>
      <c r="AH42" s="147" t="e">
        <f>AH37/AH$32</f>
        <v>#DIV/0!</v>
      </c>
      <c r="AI42" s="74" t="e">
        <f>AI37/AI$32</f>
        <v>#DIV/0!</v>
      </c>
      <c r="AJ42" s="74" t="e">
        <f>AJ37/AJ$32</f>
        <v>#DIV/0!</v>
      </c>
      <c r="AK42" s="74" t="e">
        <f t="shared" ref="AK42:AX42" si="50">AK37/AK$32</f>
        <v>#DIV/0!</v>
      </c>
      <c r="AL42" s="74" t="e">
        <f t="shared" si="50"/>
        <v>#DIV/0!</v>
      </c>
      <c r="AM42" s="74" t="e">
        <f t="shared" si="50"/>
        <v>#DIV/0!</v>
      </c>
      <c r="AN42" s="74" t="e">
        <f t="shared" si="50"/>
        <v>#DIV/0!</v>
      </c>
      <c r="AO42" s="74" t="e">
        <f t="shared" si="50"/>
        <v>#DIV/0!</v>
      </c>
      <c r="AP42" s="74" t="e">
        <f t="shared" si="50"/>
        <v>#DIV/0!</v>
      </c>
      <c r="AQ42" s="74" t="e">
        <f t="shared" si="50"/>
        <v>#DIV/0!</v>
      </c>
      <c r="AR42" s="74" t="e">
        <f t="shared" si="50"/>
        <v>#DIV/0!</v>
      </c>
      <c r="AS42" s="74" t="e">
        <f t="shared" si="50"/>
        <v>#DIV/0!</v>
      </c>
      <c r="AT42" s="74" t="e">
        <f t="shared" si="50"/>
        <v>#DIV/0!</v>
      </c>
      <c r="AU42" s="74" t="e">
        <f t="shared" si="50"/>
        <v>#DIV/0!</v>
      </c>
      <c r="AV42" s="74" t="e">
        <f t="shared" si="50"/>
        <v>#DIV/0!</v>
      </c>
      <c r="AW42" s="74" t="e">
        <f t="shared" si="50"/>
        <v>#DIV/0!</v>
      </c>
      <c r="AX42" s="74" t="e">
        <f t="shared" si="50"/>
        <v>#DIV/0!</v>
      </c>
      <c r="AY42" s="74" t="e">
        <f>AY37/AY$32</f>
        <v>#DIV/0!</v>
      </c>
      <c r="AZ42" s="74" t="e">
        <f>AZ37/AZ$32</f>
        <v>#DIV/0!</v>
      </c>
      <c r="BA42" s="74" t="e">
        <f>BA37/BA$32</f>
        <v>#DIV/0!</v>
      </c>
      <c r="BB42" s="74" t="e">
        <f>BB37/BB$32</f>
        <v>#DIV/0!</v>
      </c>
      <c r="BC42" s="130"/>
    </row>
    <row r="43" spans="1:55" ht="15">
      <c r="A43" s="113"/>
      <c r="E43" s="52"/>
      <c r="I43" s="52"/>
      <c r="K43" s="133"/>
      <c r="AG43" s="132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148"/>
    </row>
    <row r="44" spans="1:55" ht="14.25" customHeight="1">
      <c r="A44" s="113"/>
      <c r="E44" s="118" t="str">
        <f>'FIG6 Groups'!C7</f>
        <v>AsPc-1 - CP-PTX Combo</v>
      </c>
      <c r="I44" s="118" t="str">
        <f>E44</f>
        <v>AsPc-1 - CP-PTX Combo</v>
      </c>
      <c r="J44" s="107">
        <f>AVERAGEIF($E$5:$E$30,$E44,J$5:J$30)</f>
        <v>854.33333333333337</v>
      </c>
      <c r="K44" s="106" t="s">
        <v>9</v>
      </c>
      <c r="L44" s="78">
        <f>AVERAGEIF($E$5:$E$30,$E44,L$5:L$30)</f>
        <v>854.33333333333337</v>
      </c>
      <c r="M44" s="78">
        <f>AVERAGEIF($E$5:$E$30,$E44,M$5:M$30)</f>
        <v>641.16666666666663</v>
      </c>
      <c r="N44" s="78">
        <f>AVERAGEIF($E$5:$E$30,$E44,N$5:N$30)</f>
        <v>558.16666666666663</v>
      </c>
      <c r="O44" s="78">
        <f>AVERAGEIF($E$5:$E$30,$E44,O$5:O$30)</f>
        <v>441.83333333333331</v>
      </c>
      <c r="P44" s="78">
        <f>AVERAGEIF($E$5:$E$30,$E44,P$5:P$30)</f>
        <v>313.66666666666669</v>
      </c>
      <c r="Q44" s="78">
        <f>AVERAGEIF($E$5:$E$30,$E44,Q$5:Q$30)</f>
        <v>254</v>
      </c>
      <c r="R44" s="78">
        <f>AVERAGEIF($E$5:$E$30,$E44,R$5:R$30)</f>
        <v>210</v>
      </c>
      <c r="S44" s="78">
        <f>AVERAGEIF($E$5:$E$30,$E44,S$5:S$30)</f>
        <v>136.5</v>
      </c>
      <c r="T44" s="78">
        <f>AVERAGEIF($E$5:$E$30,$E44,T$5:T$30)</f>
        <v>113.5</v>
      </c>
      <c r="U44" s="78">
        <f>AVERAGEIF($E$5:$E$30,$E44,U$5:U$30)</f>
        <v>97.833333333333329</v>
      </c>
      <c r="V44" s="78">
        <f>AVERAGEIF($E$5:$E$30,$E44,V$5:V$30)</f>
        <v>73.5</v>
      </c>
      <c r="W44" s="78">
        <f>AVERAGEIF($E$5:$E$30,$E44,W$5:W$30)</f>
        <v>47.15</v>
      </c>
      <c r="X44" s="78" t="e">
        <f>AVERAGEIF($E$5:$E$30,$E44,X$5:X$30)</f>
        <v>#DIV/0!</v>
      </c>
      <c r="Y44" s="78" t="e">
        <f>AVERAGEIF($E$5:$E$30,$E44,Y$5:Y$30)</f>
        <v>#DIV/0!</v>
      </c>
      <c r="Z44" s="78" t="e">
        <f>AVERAGEIF($E$5:$E$30,$E44,Z$5:Z$30)</f>
        <v>#DIV/0!</v>
      </c>
      <c r="AA44" s="78" t="e">
        <f>AVERAGEIF($E$5:$E$30,$E44,AA$5:AA$30)</f>
        <v>#DIV/0!</v>
      </c>
      <c r="AB44" s="78" t="e">
        <f>AVERAGEIF($E$5:$E$30,$E44,AB$5:AB$30)</f>
        <v>#DIV/0!</v>
      </c>
      <c r="AC44" s="78" t="e">
        <f>AVERAGEIF($E$5:$E$30,$E44,AC$5:AC$30)</f>
        <v>#DIV/0!</v>
      </c>
      <c r="AD44" s="78" t="e">
        <f>AVERAGEIF($E$5:$E$30,$E44,AD$5:AD$30)</f>
        <v>#DIV/0!</v>
      </c>
      <c r="AE44" s="78" t="e">
        <f>AVERAGEIF($E$5:$E$30,$E44,AE$5:AE$30)</f>
        <v>#DIV/0!</v>
      </c>
      <c r="AF44" s="78" t="e">
        <f>AVERAGEIF($E$5:$E$30,$E44,AF$5:AF$30)</f>
        <v>#DIV/0!</v>
      </c>
      <c r="AG44" s="136" t="s">
        <v>9</v>
      </c>
      <c r="AH44" s="73">
        <f>AVERAGEIF($E$5:$E$30,$E44,AH$5:AH$30)</f>
        <v>1</v>
      </c>
      <c r="AI44" s="73">
        <f>AVERAGEIF($E$5:$E$30,$E44,AI$5:AI$30)</f>
        <v>0.73935295927293065</v>
      </c>
      <c r="AJ44" s="73">
        <f>AVERAGEIF($E$5:$E$30,$E44,AJ$5:AJ$30)</f>
        <v>0.64453339555272626</v>
      </c>
      <c r="AK44" s="73">
        <f>AVERAGEIF($E$5:$E$30,$E44,AK$5:AK$30)</f>
        <v>0.51458305177970276</v>
      </c>
      <c r="AL44" s="73">
        <f>AVERAGEIF($E$5:$E$30,$E44,AL$5:AL$30)</f>
        <v>0.36799167101038144</v>
      </c>
      <c r="AM44" s="73">
        <f>AVERAGEIF($E$5:$E$30,$E44,AM$5:AM$30)</f>
        <v>0.29828037891442316</v>
      </c>
      <c r="AN44" s="73">
        <f>AVERAGEIF($E$5:$E$30,$E44,AN$5:AN$30)</f>
        <v>0.24745827758204597</v>
      </c>
      <c r="AO44" s="73">
        <f>AVERAGEIF($E$5:$E$30,$E44,AO$5:AO$30)</f>
        <v>0.16259906997724391</v>
      </c>
      <c r="AP44" s="73">
        <f>AVERAGEIF($E$5:$E$30,$E44,AP$5:AP$30)</f>
        <v>0.13499713593110205</v>
      </c>
      <c r="AQ44" s="73">
        <f>AVERAGEIF($E$5:$E$30,$E44,AQ$5:AQ$30)</f>
        <v>0.11759607694167847</v>
      </c>
      <c r="AR44" s="73">
        <f>AVERAGEIF($E$5:$E$30,$E44,AR$5:AR$30)</f>
        <v>8.78117485439079E-2</v>
      </c>
      <c r="AS44" s="73">
        <f>AVERAGEIF($E$5:$E$30,$E44,AS$5:AS$30)</f>
        <v>5.5429535449638946E-2</v>
      </c>
      <c r="AT44" s="73" t="e">
        <f>AVERAGEIF($E$5:$E$30,$E44,AT$5:AT$30)</f>
        <v>#DIV/0!</v>
      </c>
      <c r="AU44" s="73" t="e">
        <f>AVERAGEIF($E$5:$E$30,$E44,AU$5:AU$30)</f>
        <v>#DIV/0!</v>
      </c>
      <c r="AV44" s="73" t="e">
        <f>AVERAGEIF($E$5:$E$30,$E44,AV$5:AV$30)</f>
        <v>#DIV/0!</v>
      </c>
      <c r="AW44" s="73" t="e">
        <f>AVERAGEIF($E$5:$E$30,$E44,AW$5:AW$30)</f>
        <v>#DIV/0!</v>
      </c>
      <c r="AX44" s="73" t="e">
        <f>AVERAGEIF($E$5:$E$30,$E44,AX$5:AX$30)</f>
        <v>#DIV/0!</v>
      </c>
      <c r="AY44" s="73" t="e">
        <f>AVERAGEIF($E$5:$E$30,$E44,AY$5:AY$30)</f>
        <v>#DIV/0!</v>
      </c>
      <c r="AZ44" s="73" t="e">
        <f>AVERAGEIF($E$5:$E$30,$E44,AZ$5:AZ$30)</f>
        <v>#DIV/0!</v>
      </c>
      <c r="BA44" s="73" t="e">
        <f>AVERAGEIF($E$5:$E$30,$E44,BA$5:BA$30)</f>
        <v>#DIV/0!</v>
      </c>
      <c r="BB44" s="73" t="e">
        <f>AVERAGEIF($E$5:$E$30,$E44,BB$5:BB$30)</f>
        <v>#DIV/0!</v>
      </c>
      <c r="BC44" s="76"/>
    </row>
    <row r="45" spans="1:55" ht="14.25" customHeight="1">
      <c r="A45" s="113"/>
      <c r="E45" s="93"/>
      <c r="I45" s="93"/>
      <c r="J45" s="107">
        <f t="array" ref="J45">_xlfn.STDEV.P(IF($E$5:$E$30=$E44,J$5:J$30))</f>
        <v>393.0672829031804</v>
      </c>
      <c r="K45" s="106" t="s">
        <v>11</v>
      </c>
      <c r="L45" s="81">
        <f t="array" ref="L45">_xlfn.STDEV.P(IF($E$5:$E$30=$E44,L$5:L$30))</f>
        <v>393.0672829031804</v>
      </c>
      <c r="M45" s="81">
        <f t="array" ref="M45">_xlfn.STDEV.P(IF($E$5:$E$30=$E44,M$5:M$30))</f>
        <v>328.26077878553951</v>
      </c>
      <c r="N45" s="81">
        <f t="array" ref="N45">_xlfn.STDEV.P(IF($E$5:$E$30=$E44,N$5:N$30))</f>
        <v>284.4230514958698</v>
      </c>
      <c r="O45" s="81">
        <f t="array" ref="O45">_xlfn.STDEV.P(IF($E$5:$E$30=$E44,O$5:O$30))</f>
        <v>212.27452089740356</v>
      </c>
      <c r="P45" s="81">
        <f t="array" ref="P45">_xlfn.STDEV.P(IF($E$5:$E$30=$E44,P$5:P$30))</f>
        <v>143.33837200445976</v>
      </c>
      <c r="Q45" s="81">
        <f t="array" ref="Q45">_xlfn.STDEV.P(IF($E$5:$E$30=$E44,Q$5:Q$30))</f>
        <v>114.80272935199174</v>
      </c>
      <c r="R45" s="81">
        <f t="array" ref="R45">_xlfn.STDEV.P(IF($E$5:$E$30=$E44,R$5:R$30))</f>
        <v>92.759545780115445</v>
      </c>
      <c r="S45" s="81">
        <f t="array" ref="S45">_xlfn.STDEV.P(IF($E$5:$E$30=$E44,S$5:S$30))</f>
        <v>55.608003021147951</v>
      </c>
      <c r="T45" s="81">
        <f t="array" ref="T45">_xlfn.STDEV.P(IF($E$5:$E$30=$E44,T$5:T$30))</f>
        <v>46.187119416564613</v>
      </c>
      <c r="U45" s="81">
        <f t="array" ref="U45">_xlfn.STDEV.P(IF($E$5:$E$30=$E44,U$5:U$30))</f>
        <v>36.40245718202123</v>
      </c>
      <c r="V45" s="81">
        <f t="array" ref="V45">_xlfn.STDEV.P(IF($E$5:$E$30=$E44,V$5:V$30))</f>
        <v>29.573355124728973</v>
      </c>
      <c r="W45" s="81">
        <f t="array" ref="W45">_xlfn.STDEV.P(IF($E$5:$E$30=$E44,W$5:W$30))</f>
        <v>21.103613434670386</v>
      </c>
      <c r="X45" s="81">
        <f t="array" ref="X45">_xlfn.STDEV.P(IF($E$5:$E$30=$E44,X$5:X$30))</f>
        <v>0</v>
      </c>
      <c r="Y45" s="81">
        <f t="array" ref="Y45">_xlfn.STDEV.P(IF($E$5:$E$30=$E44,Y$5:Y$30))</f>
        <v>0</v>
      </c>
      <c r="Z45" s="81">
        <f t="array" ref="Z45">_xlfn.STDEV.P(IF($E$5:$E$30=$E44,Z$5:Z$30))</f>
        <v>0</v>
      </c>
      <c r="AA45" s="81">
        <f t="array" ref="AA45">_xlfn.STDEV.P(IF($E$5:$E$30=$E44,AA$5:AA$30))</f>
        <v>0</v>
      </c>
      <c r="AB45" s="81">
        <f t="array" ref="AB45">_xlfn.STDEV.P(IF($E$5:$E$30=$E44,AB$5:AB$30))</f>
        <v>0</v>
      </c>
      <c r="AC45" s="81">
        <f t="array" ref="AC45">_xlfn.STDEV.P(IF($E$5:$E$30=$E44,AC$5:AC$30))</f>
        <v>0</v>
      </c>
      <c r="AD45" s="81">
        <f t="array" ref="AD45">_xlfn.STDEV.P(IF($E$5:$E$30=$E44,AD$5:AD$30))</f>
        <v>0</v>
      </c>
      <c r="AE45" s="81">
        <f t="array" ref="AE45">_xlfn.STDEV.P(IF($E$5:$E$30=$E44,AE$5:AE$30))</f>
        <v>0</v>
      </c>
      <c r="AF45" s="81">
        <f t="array" ref="AF45">_xlfn.STDEV.P(IF($E$5:$E$30=$E44,AF$5:AF$30))</f>
        <v>0</v>
      </c>
      <c r="AG45" s="137" t="s">
        <v>11</v>
      </c>
      <c r="AH45" s="74">
        <f t="array" ref="AH45">_xlfn.STDEV.P(IF($E$5:$E$30=$E44,AH$5:AH$30))</f>
        <v>0</v>
      </c>
      <c r="AI45" s="74">
        <f t="array" ref="AI45">_xlfn.STDEV.P(IF($E$5:$E$30=$E44,AI$5:AI$30))</f>
        <v>3.1038026344674421E-2</v>
      </c>
      <c r="AJ45" s="74">
        <f t="array" ref="AJ45">_xlfn.STDEV.P(IF($E$5:$E$30=$E44,AJ$5:AJ$30))</f>
        <v>2.6981883155653291E-2</v>
      </c>
      <c r="AK45" s="74">
        <f t="array" ref="AK45">_xlfn.STDEV.P(IF($E$5:$E$30=$E44,AK$5:AK$30))</f>
        <v>1.3703127064727599E-2</v>
      </c>
      <c r="AL45" s="74">
        <f t="array" ref="AL45">_xlfn.STDEV.P(IF($E$5:$E$30=$E44,AL$5:AL$30))</f>
        <v>1.0923957827740079E-2</v>
      </c>
      <c r="AM45" s="74">
        <f t="array" ref="AM45">_xlfn.STDEV.P(IF($E$5:$E$30=$E44,AM$5:AM$30))</f>
        <v>7.2608684777027031E-3</v>
      </c>
      <c r="AN45" s="74">
        <f t="array" ref="AN45">_xlfn.STDEV.P(IF($E$5:$E$30=$E44,AN$5:AN$30))</f>
        <v>6.227642148303506E-3</v>
      </c>
      <c r="AO45" s="74">
        <f t="array" ref="AO45">_xlfn.STDEV.P(IF($E$5:$E$30=$E44,AO$5:AO$30))</f>
        <v>7.9553264218801146E-3</v>
      </c>
      <c r="AP45" s="74">
        <f t="array" ref="AP45">_xlfn.STDEV.P(IF($E$5:$E$30=$E44,AP$5:AP$30))</f>
        <v>5.6046881250133756E-3</v>
      </c>
      <c r="AQ45" s="74">
        <f t="array" ref="AQ45">_xlfn.STDEV.P(IF($E$5:$E$30=$E44,AQ$5:AQ$30))</f>
        <v>7.1839423146181922E-3</v>
      </c>
      <c r="AR45" s="74">
        <f t="array" ref="AR45">_xlfn.STDEV.P(IF($E$5:$E$30=$E44,AR$5:AR$30))</f>
        <v>7.4524781963776271E-3</v>
      </c>
      <c r="AS45" s="74">
        <f t="array" ref="AS45">_xlfn.STDEV.P(IF($E$5:$E$30=$E44,AS$5:AS$30))</f>
        <v>1.288413010084953E-3</v>
      </c>
      <c r="AT45" s="74" t="e">
        <f t="array" ref="AT45">_xlfn.STDEV.P(IF($E$5:$E$30=$E44,AT$5:AT$30))</f>
        <v>#DIV/0!</v>
      </c>
      <c r="AU45" s="74" t="e">
        <f t="array" ref="AU45">_xlfn.STDEV.P(IF($E$5:$E$30=$E44,AU$5:AU$30))</f>
        <v>#DIV/0!</v>
      </c>
      <c r="AV45" s="74" t="e">
        <f t="array" ref="AV45">_xlfn.STDEV.P(IF($E$5:$E$30=$E44,AV$5:AV$30))</f>
        <v>#DIV/0!</v>
      </c>
      <c r="AW45" s="74" t="e">
        <f t="array" ref="AW45">_xlfn.STDEV.P(IF($E$5:$E$30=$E44,AW$5:AW$30))</f>
        <v>#DIV/0!</v>
      </c>
      <c r="AX45" s="74" t="e">
        <f t="array" ref="AX45">_xlfn.STDEV.P(IF($E$5:$E$30=$E44,AX$5:AX$30))</f>
        <v>#DIV/0!</v>
      </c>
      <c r="AY45" s="74">
        <f t="array" ref="AY45">_xlfn.STDEV.P(IF($E$5:$E$30=$E44,AY$5:AY$30))</f>
        <v>0</v>
      </c>
      <c r="AZ45" s="74">
        <f t="array" ref="AZ45">_xlfn.STDEV.P(IF($E$5:$E$30=$E44,AZ$5:AZ$30))</f>
        <v>0</v>
      </c>
      <c r="BA45" s="74" t="e">
        <f t="array" ref="BA45">_xlfn.STDEV.P(IF($E$5:$E$30=$E44,BA$5:BA$30))</f>
        <v>#DIV/0!</v>
      </c>
      <c r="BB45" s="74" t="e">
        <f t="array" ref="BB45">_xlfn.STDEV.P(IF($E$5:$E$30=$E44,BB$5:BB$30))</f>
        <v>#DIV/0!</v>
      </c>
      <c r="BC45" s="76"/>
    </row>
    <row r="46" spans="1:55" ht="14.25" customHeight="1">
      <c r="A46" s="113"/>
      <c r="E46" s="93"/>
      <c r="I46" s="93"/>
      <c r="J46" s="107"/>
      <c r="K46" s="131" t="s">
        <v>34</v>
      </c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131" t="s">
        <v>34</v>
      </c>
      <c r="AH46" s="73">
        <f>AH44-AH$32</f>
        <v>0</v>
      </c>
      <c r="AI46" s="73">
        <f>AI44-AI$32</f>
        <v>-0.1778462754964989</v>
      </c>
      <c r="AJ46" s="73">
        <f t="shared" ref="AJ46:AX46" si="51">AJ44-AJ$32</f>
        <v>-0.19672104070890084</v>
      </c>
      <c r="AK46" s="73">
        <f t="shared" si="51"/>
        <v>-0.19312597475016524</v>
      </c>
      <c r="AL46" s="73">
        <f t="shared" si="51"/>
        <v>-0.17807514549515169</v>
      </c>
      <c r="AM46" s="73">
        <f t="shared" si="51"/>
        <v>-0.16110075296612053</v>
      </c>
      <c r="AN46" s="73">
        <f t="shared" si="51"/>
        <v>-0.13899813754734897</v>
      </c>
      <c r="AO46" s="73">
        <f t="shared" si="51"/>
        <v>-8.8253722271473017E-2</v>
      </c>
      <c r="AP46" s="73">
        <f t="shared" si="51"/>
        <v>-7.6033888396747407E-2</v>
      </c>
      <c r="AQ46" s="73">
        <f t="shared" si="51"/>
        <v>-5.9934708462960215E-2</v>
      </c>
      <c r="AR46" s="73">
        <f t="shared" si="51"/>
        <v>-4.9170637130872816E-2</v>
      </c>
      <c r="AS46" s="73">
        <f t="shared" si="51"/>
        <v>-4.1514135367999062E-2</v>
      </c>
      <c r="AT46" s="73" t="e">
        <f t="shared" si="51"/>
        <v>#DIV/0!</v>
      </c>
      <c r="AU46" s="73" t="e">
        <f t="shared" si="51"/>
        <v>#DIV/0!</v>
      </c>
      <c r="AV46" s="73" t="e">
        <f t="shared" si="51"/>
        <v>#DIV/0!</v>
      </c>
      <c r="AW46" s="73" t="e">
        <f t="shared" si="51"/>
        <v>#DIV/0!</v>
      </c>
      <c r="AX46" s="73" t="e">
        <f t="shared" si="51"/>
        <v>#DIV/0!</v>
      </c>
      <c r="AY46" s="73" t="e">
        <f>AY44-AY$32</f>
        <v>#DIV/0!</v>
      </c>
      <c r="AZ46" s="73" t="e">
        <f>AZ44-AZ$32</f>
        <v>#DIV/0!</v>
      </c>
      <c r="BA46" s="73" t="e">
        <f>BA44-BA$32</f>
        <v>#DIV/0!</v>
      </c>
      <c r="BB46" s="73" t="e">
        <f>BB44-BB$32</f>
        <v>#DIV/0!</v>
      </c>
      <c r="BC46" s="130"/>
    </row>
    <row r="47" spans="1:55" ht="14.25" customHeight="1">
      <c r="A47" s="113"/>
      <c r="E47" s="93"/>
      <c r="I47" s="93"/>
      <c r="J47" s="107"/>
      <c r="K47" s="105" t="s">
        <v>48</v>
      </c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105" t="s">
        <v>48</v>
      </c>
      <c r="AH47" s="73"/>
      <c r="AI47" s="73">
        <f>AH44*EXP((AI$4-AH$4)*-LN(2)/8.091)</f>
        <v>0.91789808441829013</v>
      </c>
      <c r="AJ47" s="73">
        <f>AI44*EXP((AJ$4-AI$4)*-LN(2)/8.091)</f>
        <v>0.67865066502561711</v>
      </c>
      <c r="AK47" s="73">
        <f t="shared" ref="AK47:AX47" si="52">AJ44*EXP((AK$4-AJ$4)*-LN(2)/8.091)</f>
        <v>0.54304316476786163</v>
      </c>
      <c r="AL47" s="73">
        <f t="shared" si="52"/>
        <v>0.39795949292261945</v>
      </c>
      <c r="AM47" s="73">
        <f t="shared" si="52"/>
        <v>0.31004655928234787</v>
      </c>
      <c r="AN47" s="73">
        <f t="shared" si="52"/>
        <v>0.25131222380639939</v>
      </c>
      <c r="AO47" s="73">
        <f t="shared" si="52"/>
        <v>0.16124056204148396</v>
      </c>
      <c r="AP47" s="73">
        <f t="shared" si="52"/>
        <v>0.13699571528490373</v>
      </c>
      <c r="AQ47" s="73">
        <f t="shared" si="52"/>
        <v>0.11374006752242177</v>
      </c>
      <c r="AR47" s="73">
        <f t="shared" si="52"/>
        <v>9.0944454908776354E-2</v>
      </c>
      <c r="AS47" s="73">
        <f t="shared" si="52"/>
        <v>6.2334786906903784E-2</v>
      </c>
      <c r="AT47" s="73" t="e">
        <f t="shared" si="52"/>
        <v>#VALUE!</v>
      </c>
      <c r="AU47" s="73" t="e">
        <f t="shared" si="52"/>
        <v>#DIV/0!</v>
      </c>
      <c r="AV47" s="73" t="e">
        <f t="shared" si="52"/>
        <v>#DIV/0!</v>
      </c>
      <c r="AW47" s="73" t="e">
        <f t="shared" si="52"/>
        <v>#DIV/0!</v>
      </c>
      <c r="AX47" s="73" t="e">
        <f t="shared" si="52"/>
        <v>#DIV/0!</v>
      </c>
      <c r="AY47" s="73" t="e">
        <f>AX44*EXP((AY$4-AX$4)*-LN(2)/8.091)</f>
        <v>#DIV/0!</v>
      </c>
      <c r="AZ47" s="73" t="e">
        <f>AY44*EXP((AZ$4-AY$4)*-LN(2)/8.091)</f>
        <v>#DIV/0!</v>
      </c>
      <c r="BA47" s="73" t="e">
        <f>AZ44*EXP((BA$4-AZ$4)*-LN(2)/8.091)</f>
        <v>#DIV/0!</v>
      </c>
      <c r="BB47" s="73" t="e">
        <f>BA44*EXP((BB$4-BA$4)*-LN(2)/8.091)</f>
        <v>#DIV/0!</v>
      </c>
      <c r="BC47" s="130"/>
    </row>
    <row r="48" spans="1:55" ht="14.25" customHeight="1">
      <c r="A48" s="113"/>
      <c r="E48" s="93"/>
      <c r="I48" s="93"/>
      <c r="J48" s="107"/>
      <c r="K48" s="105" t="s">
        <v>35</v>
      </c>
      <c r="L48" s="80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105" t="s">
        <v>35</v>
      </c>
      <c r="AH48" s="147"/>
      <c r="AI48" s="74">
        <f t="shared" ref="AI48:BB48" si="53">AI44-AI47</f>
        <v>-0.17854512514535947</v>
      </c>
      <c r="AJ48" s="74">
        <f t="shared" si="53"/>
        <v>-3.4117269472890843E-2</v>
      </c>
      <c r="AK48" s="74">
        <f t="shared" si="53"/>
        <v>-2.846011298815887E-2</v>
      </c>
      <c r="AL48" s="74">
        <f t="shared" si="53"/>
        <v>-2.9967821912238013E-2</v>
      </c>
      <c r="AM48" s="74">
        <f t="shared" si="53"/>
        <v>-1.1766180367924706E-2</v>
      </c>
      <c r="AN48" s="74">
        <f t="shared" si="53"/>
        <v>-3.8539462243534217E-3</v>
      </c>
      <c r="AO48" s="74">
        <f t="shared" si="53"/>
        <v>1.3585079357599505E-3</v>
      </c>
      <c r="AP48" s="74">
        <f t="shared" si="53"/>
        <v>-1.9985793538016827E-3</v>
      </c>
      <c r="AQ48" s="74">
        <f t="shared" si="53"/>
        <v>3.8560094192566924E-3</v>
      </c>
      <c r="AR48" s="74">
        <f t="shared" si="53"/>
        <v>-3.1327063648684539E-3</v>
      </c>
      <c r="AS48" s="74">
        <f t="shared" si="53"/>
        <v>-6.9052514572648382E-3</v>
      </c>
      <c r="AT48" s="74" t="e">
        <f t="shared" si="53"/>
        <v>#DIV/0!</v>
      </c>
      <c r="AU48" s="74" t="e">
        <f t="shared" si="53"/>
        <v>#DIV/0!</v>
      </c>
      <c r="AV48" s="74" t="e">
        <f t="shared" si="53"/>
        <v>#DIV/0!</v>
      </c>
      <c r="AW48" s="74" t="e">
        <f t="shared" si="53"/>
        <v>#DIV/0!</v>
      </c>
      <c r="AX48" s="74" t="e">
        <f t="shared" si="53"/>
        <v>#DIV/0!</v>
      </c>
      <c r="AY48" s="74" t="e">
        <f t="shared" si="53"/>
        <v>#DIV/0!</v>
      </c>
      <c r="AZ48" s="74" t="e">
        <f t="shared" si="53"/>
        <v>#DIV/0!</v>
      </c>
      <c r="BA48" s="74" t="e">
        <f t="shared" si="53"/>
        <v>#DIV/0!</v>
      </c>
      <c r="BB48" s="74" t="e">
        <f t="shared" si="53"/>
        <v>#DIV/0!</v>
      </c>
      <c r="BC48" s="130"/>
    </row>
    <row r="49" spans="1:55" ht="14.25" customHeight="1">
      <c r="A49" s="113"/>
      <c r="E49" s="93"/>
      <c r="I49" s="93"/>
      <c r="J49" s="107"/>
      <c r="K49" s="105" t="s">
        <v>49</v>
      </c>
      <c r="L49" s="80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105" t="s">
        <v>49</v>
      </c>
      <c r="AH49" s="147">
        <f>AH44/AH$32</f>
        <v>1</v>
      </c>
      <c r="AI49" s="74">
        <f>AI44/AI$32</f>
        <v>0.80609853480611893</v>
      </c>
      <c r="AJ49" s="74">
        <f>AJ44/AJ$32</f>
        <v>0.76615749976536074</v>
      </c>
      <c r="AK49" s="74">
        <f t="shared" ref="AK49:AX49" si="54">AK44/AK$32</f>
        <v>0.72711104774637969</v>
      </c>
      <c r="AL49" s="74">
        <f t="shared" si="54"/>
        <v>0.67389495183993242</v>
      </c>
      <c r="AM49" s="74">
        <f t="shared" si="54"/>
        <v>0.6493091644695308</v>
      </c>
      <c r="AN49" s="74">
        <f t="shared" si="54"/>
        <v>0.64032648416300963</v>
      </c>
      <c r="AO49" s="74">
        <f t="shared" si="54"/>
        <v>0.64818521061559198</v>
      </c>
      <c r="AP49" s="74">
        <f t="shared" si="54"/>
        <v>0.63970279422695608</v>
      </c>
      <c r="AQ49" s="74">
        <f t="shared" si="54"/>
        <v>0.66239822391168113</v>
      </c>
      <c r="AR49" s="74">
        <f t="shared" si="54"/>
        <v>0.64104408834277282</v>
      </c>
      <c r="AS49" s="74">
        <f t="shared" si="54"/>
        <v>0.57177054450422204</v>
      </c>
      <c r="AT49" s="74" t="e">
        <f t="shared" si="54"/>
        <v>#DIV/0!</v>
      </c>
      <c r="AU49" s="74" t="e">
        <f t="shared" si="54"/>
        <v>#DIV/0!</v>
      </c>
      <c r="AV49" s="74" t="e">
        <f t="shared" si="54"/>
        <v>#DIV/0!</v>
      </c>
      <c r="AW49" s="74" t="e">
        <f t="shared" si="54"/>
        <v>#DIV/0!</v>
      </c>
      <c r="AX49" s="74" t="e">
        <f t="shared" si="54"/>
        <v>#DIV/0!</v>
      </c>
      <c r="AY49" s="74" t="e">
        <f>AY44/AY$32</f>
        <v>#DIV/0!</v>
      </c>
      <c r="AZ49" s="74" t="e">
        <f>AZ44/AZ$32</f>
        <v>#DIV/0!</v>
      </c>
      <c r="BA49" s="74" t="e">
        <f>BA44/BA$32</f>
        <v>#DIV/0!</v>
      </c>
      <c r="BB49" s="74" t="e">
        <f>BB44/BB$32</f>
        <v>#DIV/0!</v>
      </c>
      <c r="BC49" s="130"/>
    </row>
    <row r="50" spans="1:55" ht="15">
      <c r="A50" s="113"/>
      <c r="E50" s="52"/>
      <c r="I50" s="52"/>
      <c r="K50" s="133"/>
      <c r="AG50" s="132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148"/>
    </row>
    <row r="51" spans="1:55" ht="14.25" customHeight="1">
      <c r="A51" s="113"/>
      <c r="E51" s="118" t="str">
        <f>'FIG6 Groups'!C8</f>
        <v>MIA PaCa-2 - Control</v>
      </c>
      <c r="I51" s="118" t="str">
        <f>E51</f>
        <v>MIA PaCa-2 - Control</v>
      </c>
      <c r="J51" s="107">
        <f>AVERAGEIF($E$5:$E$30,$E51,J$5:J$30)</f>
        <v>0</v>
      </c>
      <c r="K51" s="106" t="s">
        <v>9</v>
      </c>
      <c r="L51" s="78">
        <f>AVERAGEIF($E$5:$E$30,$E51,L$5:L$30)</f>
        <v>0</v>
      </c>
      <c r="M51" s="78">
        <f>AVERAGEIF($E$5:$E$30,$E51,M$5:M$30)</f>
        <v>0</v>
      </c>
      <c r="N51" s="78">
        <f>AVERAGEIF($E$5:$E$30,$E51,N$5:N$30)</f>
        <v>0</v>
      </c>
      <c r="O51" s="78">
        <f>AVERAGEIF($E$5:$E$30,$E51,O$5:O$30)</f>
        <v>0</v>
      </c>
      <c r="P51" s="78">
        <f>AVERAGEIF($E$5:$E$30,$E51,P$5:P$30)</f>
        <v>0</v>
      </c>
      <c r="Q51" s="78">
        <f>AVERAGEIF($E$5:$E$30,$E51,Q$5:Q$30)</f>
        <v>0</v>
      </c>
      <c r="R51" s="78">
        <f>AVERAGEIF($E$5:$E$30,$E51,R$5:R$30)</f>
        <v>0</v>
      </c>
      <c r="S51" s="78">
        <f>AVERAGEIF($E$5:$E$30,$E51,S$5:S$30)</f>
        <v>0</v>
      </c>
      <c r="T51" s="78">
        <f>AVERAGEIF($E$5:$E$30,$E51,T$5:T$30)</f>
        <v>0</v>
      </c>
      <c r="U51" s="78">
        <f>AVERAGEIF($E$5:$E$30,$E51,U$5:U$30)</f>
        <v>0</v>
      </c>
      <c r="V51" s="78">
        <f>AVERAGEIF($E$5:$E$30,$E51,V$5:V$30)</f>
        <v>0</v>
      </c>
      <c r="W51" s="78">
        <f>AVERAGEIF($E$5:$E$30,$E51,W$5:W$30)</f>
        <v>0</v>
      </c>
      <c r="X51" s="78" t="e">
        <f>AVERAGEIF($E$5:$E$30,$E51,X$5:X$30)</f>
        <v>#DIV/0!</v>
      </c>
      <c r="Y51" s="78" t="e">
        <f>AVERAGEIF($E$5:$E$30,$E51,Y$5:Y$30)</f>
        <v>#DIV/0!</v>
      </c>
      <c r="Z51" s="78" t="e">
        <f>AVERAGEIF($E$5:$E$30,$E51,Z$5:Z$30)</f>
        <v>#DIV/0!</v>
      </c>
      <c r="AA51" s="78" t="e">
        <f>AVERAGEIF($E$5:$E$30,$E51,AA$5:AA$30)</f>
        <v>#DIV/0!</v>
      </c>
      <c r="AB51" s="78" t="e">
        <f>AVERAGEIF($E$5:$E$30,$E51,AB$5:AB$30)</f>
        <v>#DIV/0!</v>
      </c>
      <c r="AC51" s="78" t="e">
        <f>AVERAGEIF($E$5:$E$30,$E51,AC$5:AC$30)</f>
        <v>#DIV/0!</v>
      </c>
      <c r="AD51" s="78" t="e">
        <f>AVERAGEIF($E$5:$E$30,$E51,AD$5:AD$30)</f>
        <v>#DIV/0!</v>
      </c>
      <c r="AE51" s="78" t="e">
        <f>AVERAGEIF($E$5:$E$30,$E51,AE$5:AE$30)</f>
        <v>#DIV/0!</v>
      </c>
      <c r="AF51" s="78" t="e">
        <f>AVERAGEIF($E$5:$E$30,$E51,AF$5:AF$30)</f>
        <v>#DIV/0!</v>
      </c>
      <c r="AG51" s="136" t="s">
        <v>9</v>
      </c>
      <c r="AH51" s="73" t="e">
        <f>AVERAGEIF($E$5:$E$30,$E51,AH$5:AH$30)</f>
        <v>#DIV/0!</v>
      </c>
      <c r="AI51" s="73" t="e">
        <f>AVERAGEIF($E$5:$E$30,$E51,AI$5:AI$30)</f>
        <v>#DIV/0!</v>
      </c>
      <c r="AJ51" s="73" t="e">
        <f>AVERAGEIF($E$5:$E$30,$E51,AJ$5:AJ$30)</f>
        <v>#DIV/0!</v>
      </c>
      <c r="AK51" s="73" t="e">
        <f>AVERAGEIF($E$5:$E$30,$E51,AK$5:AK$30)</f>
        <v>#DIV/0!</v>
      </c>
      <c r="AL51" s="73" t="e">
        <f>AVERAGEIF($E$5:$E$30,$E51,AL$5:AL$30)</f>
        <v>#DIV/0!</v>
      </c>
      <c r="AM51" s="73" t="e">
        <f>AVERAGEIF($E$5:$E$30,$E51,AM$5:AM$30)</f>
        <v>#DIV/0!</v>
      </c>
      <c r="AN51" s="73" t="e">
        <f>AVERAGEIF($E$5:$E$30,$E51,AN$5:AN$30)</f>
        <v>#DIV/0!</v>
      </c>
      <c r="AO51" s="73" t="e">
        <f>AVERAGEIF($E$5:$E$30,$E51,AO$5:AO$30)</f>
        <v>#DIV/0!</v>
      </c>
      <c r="AP51" s="73" t="e">
        <f>AVERAGEIF($E$5:$E$30,$E51,AP$5:AP$30)</f>
        <v>#DIV/0!</v>
      </c>
      <c r="AQ51" s="73" t="e">
        <f>AVERAGEIF($E$5:$E$30,$E51,AQ$5:AQ$30)</f>
        <v>#DIV/0!</v>
      </c>
      <c r="AR51" s="73" t="e">
        <f>AVERAGEIF($E$5:$E$30,$E51,AR$5:AR$30)</f>
        <v>#DIV/0!</v>
      </c>
      <c r="AS51" s="73" t="e">
        <f>AVERAGEIF($E$5:$E$30,$E51,AS$5:AS$30)</f>
        <v>#DIV/0!</v>
      </c>
      <c r="AT51" s="73" t="e">
        <f>AVERAGEIF($E$5:$E$30,$E51,AT$5:AT$30)</f>
        <v>#DIV/0!</v>
      </c>
      <c r="AU51" s="73" t="e">
        <f>AVERAGEIF($E$5:$E$30,$E51,AU$5:AU$30)</f>
        <v>#DIV/0!</v>
      </c>
      <c r="AV51" s="73" t="e">
        <f>AVERAGEIF($E$5:$E$30,$E51,AV$5:AV$30)</f>
        <v>#DIV/0!</v>
      </c>
      <c r="AW51" s="73" t="e">
        <f>AVERAGEIF($E$5:$E$30,$E51,AW$5:AW$30)</f>
        <v>#DIV/0!</v>
      </c>
      <c r="AX51" s="73" t="e">
        <f>AVERAGEIF($E$5:$E$30,$E51,AX$5:AX$30)</f>
        <v>#DIV/0!</v>
      </c>
      <c r="AY51" s="73" t="e">
        <f>AVERAGEIF($E$5:$E$30,$E51,AY$5:AY$30)</f>
        <v>#DIV/0!</v>
      </c>
      <c r="AZ51" s="73" t="e">
        <f>AVERAGEIF($E$5:$E$30,$E51,AZ$5:AZ$30)</f>
        <v>#DIV/0!</v>
      </c>
      <c r="BA51" s="73" t="e">
        <f>AVERAGEIF($E$5:$E$30,$E51,BA$5:BA$30)</f>
        <v>#DIV/0!</v>
      </c>
      <c r="BB51" s="73" t="e">
        <f>AVERAGEIF($E$5:$E$30,$E51,BB$5:BB$30)</f>
        <v>#DIV/0!</v>
      </c>
      <c r="BC51" s="76"/>
    </row>
    <row r="52" spans="1:55" ht="14.25" customHeight="1">
      <c r="A52" s="113"/>
      <c r="E52" s="93"/>
      <c r="I52" s="93"/>
      <c r="J52" s="107">
        <f t="array" ref="J52">_xlfn.STDEV.P(IF($E$5:$E$30=$E51,J$5:J$30))</f>
        <v>0</v>
      </c>
      <c r="K52" s="106" t="s">
        <v>11</v>
      </c>
      <c r="L52" s="81">
        <f t="array" ref="L52">_xlfn.STDEV.P(IF($E$5:$E$30=$E51,L$5:L$30))</f>
        <v>0</v>
      </c>
      <c r="M52" s="81">
        <f t="array" ref="M52">_xlfn.STDEV.P(IF($E$5:$E$30=$E51,M$5:M$30))</f>
        <v>0</v>
      </c>
      <c r="N52" s="81">
        <f t="array" ref="N52">_xlfn.STDEV.P(IF($E$5:$E$30=$E51,N$5:N$30))</f>
        <v>0</v>
      </c>
      <c r="O52" s="81">
        <f t="array" ref="O52">_xlfn.STDEV.P(IF($E$5:$E$30=$E51,O$5:O$30))</f>
        <v>0</v>
      </c>
      <c r="P52" s="81">
        <f t="array" ref="P52">_xlfn.STDEV.P(IF($E$5:$E$30=$E51,P$5:P$30))</f>
        <v>0</v>
      </c>
      <c r="Q52" s="81">
        <f t="array" ref="Q52">_xlfn.STDEV.P(IF($E$5:$E$30=$E51,Q$5:Q$30))</f>
        <v>0</v>
      </c>
      <c r="R52" s="81">
        <f t="array" ref="R52">_xlfn.STDEV.P(IF($E$5:$E$30=$E51,R$5:R$30))</f>
        <v>0</v>
      </c>
      <c r="S52" s="81">
        <f t="array" ref="S52">_xlfn.STDEV.P(IF($E$5:$E$30=$E51,S$5:S$30))</f>
        <v>0</v>
      </c>
      <c r="T52" s="81">
        <f t="array" ref="T52">_xlfn.STDEV.P(IF($E$5:$E$30=$E51,T$5:T$30))</f>
        <v>0</v>
      </c>
      <c r="U52" s="81">
        <f t="array" ref="U52">_xlfn.STDEV.P(IF($E$5:$E$30=$E51,U$5:U$30))</f>
        <v>0</v>
      </c>
      <c r="V52" s="81">
        <f t="array" ref="V52">_xlfn.STDEV.P(IF($E$5:$E$30=$E51,V$5:V$30))</f>
        <v>0</v>
      </c>
      <c r="W52" s="81">
        <f t="array" ref="W52">_xlfn.STDEV.P(IF($E$5:$E$30=$E51,W$5:W$30))</f>
        <v>0</v>
      </c>
      <c r="X52" s="81">
        <f t="array" ref="X52">_xlfn.STDEV.P(IF($E$5:$E$30=$E51,X$5:X$30))</f>
        <v>0</v>
      </c>
      <c r="Y52" s="81">
        <f t="array" ref="Y52">_xlfn.STDEV.P(IF($E$5:$E$30=$E51,Y$5:Y$30))</f>
        <v>0</v>
      </c>
      <c r="Z52" s="81">
        <f t="array" ref="Z52">_xlfn.STDEV.P(IF($E$5:$E$30=$E51,Z$5:Z$30))</f>
        <v>0</v>
      </c>
      <c r="AA52" s="81">
        <f t="array" ref="AA52">_xlfn.STDEV.P(IF($E$5:$E$30=$E51,AA$5:AA$30))</f>
        <v>0</v>
      </c>
      <c r="AB52" s="81">
        <f t="array" ref="AB52">_xlfn.STDEV.P(IF($E$5:$E$30=$E51,AB$5:AB$30))</f>
        <v>0</v>
      </c>
      <c r="AC52" s="81">
        <f t="array" ref="AC52">_xlfn.STDEV.P(IF($E$5:$E$30=$E51,AC$5:AC$30))</f>
        <v>0</v>
      </c>
      <c r="AD52" s="81">
        <f t="array" ref="AD52">_xlfn.STDEV.P(IF($E$5:$E$30=$E51,AD$5:AD$30))</f>
        <v>0</v>
      </c>
      <c r="AE52" s="81">
        <f t="array" ref="AE52">_xlfn.STDEV.P(IF($E$5:$E$30=$E51,AE$5:AE$30))</f>
        <v>0</v>
      </c>
      <c r="AF52" s="81">
        <f t="array" ref="AF52">_xlfn.STDEV.P(IF($E$5:$E$30=$E51,AF$5:AF$30))</f>
        <v>0</v>
      </c>
      <c r="AG52" s="137" t="s">
        <v>11</v>
      </c>
      <c r="AH52" s="74" t="e">
        <f t="array" ref="AH52">_xlfn.STDEV.P(IF($E$5:$E$30=$E51,AH$5:AH$30))</f>
        <v>#DIV/0!</v>
      </c>
      <c r="AI52" s="74" t="e">
        <f t="array" ref="AI52">_xlfn.STDEV.P(IF($E$5:$E$30=$E51,AI$5:AI$30))</f>
        <v>#DIV/0!</v>
      </c>
      <c r="AJ52" s="74" t="e">
        <f t="array" ref="AJ52">_xlfn.STDEV.P(IF($E$5:$E$30=$E51,AJ$5:AJ$30))</f>
        <v>#DIV/0!</v>
      </c>
      <c r="AK52" s="74" t="e">
        <f t="array" ref="AK52">_xlfn.STDEV.P(IF($E$5:$E$30=$E51,AK$5:AK$30))</f>
        <v>#DIV/0!</v>
      </c>
      <c r="AL52" s="74" t="e">
        <f t="array" ref="AL52">_xlfn.STDEV.P(IF($E$5:$E$30=$E51,AL$5:AL$30))</f>
        <v>#DIV/0!</v>
      </c>
      <c r="AM52" s="74" t="e">
        <f t="array" ref="AM52">_xlfn.STDEV.P(IF($E$5:$E$30=$E51,AM$5:AM$30))</f>
        <v>#DIV/0!</v>
      </c>
      <c r="AN52" s="74" t="e">
        <f t="array" ref="AN52">_xlfn.STDEV.P(IF($E$5:$E$30=$E51,AN$5:AN$30))</f>
        <v>#DIV/0!</v>
      </c>
      <c r="AO52" s="74" t="e">
        <f t="array" ref="AO52">_xlfn.STDEV.P(IF($E$5:$E$30=$E51,AO$5:AO$30))</f>
        <v>#DIV/0!</v>
      </c>
      <c r="AP52" s="74" t="e">
        <f t="array" ref="AP52">_xlfn.STDEV.P(IF($E$5:$E$30=$E51,AP$5:AP$30))</f>
        <v>#DIV/0!</v>
      </c>
      <c r="AQ52" s="74" t="e">
        <f t="array" ref="AQ52">_xlfn.STDEV.P(IF($E$5:$E$30=$E51,AQ$5:AQ$30))</f>
        <v>#DIV/0!</v>
      </c>
      <c r="AR52" s="74" t="e">
        <f t="array" ref="AR52">_xlfn.STDEV.P(IF($E$5:$E$30=$E51,AR$5:AR$30))</f>
        <v>#DIV/0!</v>
      </c>
      <c r="AS52" s="74" t="e">
        <f t="array" ref="AS52">_xlfn.STDEV.P(IF($E$5:$E$30=$E51,AS$5:AS$30))</f>
        <v>#DIV/0!</v>
      </c>
      <c r="AT52" s="74" t="e">
        <f t="array" ref="AT52">_xlfn.STDEV.P(IF($E$5:$E$30=$E51,AT$5:AT$30))</f>
        <v>#DIV/0!</v>
      </c>
      <c r="AU52" s="74" t="e">
        <f t="array" ref="AU52">_xlfn.STDEV.P(IF($E$5:$E$30=$E51,AU$5:AU$30))</f>
        <v>#DIV/0!</v>
      </c>
      <c r="AV52" s="74" t="e">
        <f t="array" ref="AV52">_xlfn.STDEV.P(IF($E$5:$E$30=$E51,AV$5:AV$30))</f>
        <v>#DIV/0!</v>
      </c>
      <c r="AW52" s="74" t="e">
        <f t="array" ref="AW52">_xlfn.STDEV.P(IF($E$5:$E$30=$E51,AW$5:AW$30))</f>
        <v>#DIV/0!</v>
      </c>
      <c r="AX52" s="74" t="e">
        <f t="array" ref="AX52">_xlfn.STDEV.P(IF($E$5:$E$30=$E51,AX$5:AX$30))</f>
        <v>#DIV/0!</v>
      </c>
      <c r="AY52" s="74">
        <f t="array" ref="AY52">_xlfn.STDEV.P(IF($E$5:$E$30=$E51,AY$5:AY$30))</f>
        <v>0</v>
      </c>
      <c r="AZ52" s="74">
        <f t="array" ref="AZ52">_xlfn.STDEV.P(IF($E$5:$E$30=$E51,AZ$5:AZ$30))</f>
        <v>0</v>
      </c>
      <c r="BA52" s="74" t="e">
        <f t="array" ref="BA52">_xlfn.STDEV.P(IF($E$5:$E$30=$E51,BA$5:BA$30))</f>
        <v>#DIV/0!</v>
      </c>
      <c r="BB52" s="74" t="e">
        <f t="array" ref="BB52">_xlfn.STDEV.P(IF($E$5:$E$30=$E51,BB$5:BB$30))</f>
        <v>#DIV/0!</v>
      </c>
      <c r="BC52" s="76"/>
    </row>
    <row r="53" spans="1:55" ht="14.25" customHeight="1">
      <c r="A53" s="113"/>
      <c r="E53" s="93"/>
      <c r="I53" s="93"/>
      <c r="J53" s="107"/>
      <c r="K53" s="131" t="s">
        <v>34</v>
      </c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131" t="s">
        <v>34</v>
      </c>
      <c r="AH53" s="73" t="e">
        <f>AH51-AH$32</f>
        <v>#DIV/0!</v>
      </c>
      <c r="AI53" s="73" t="e">
        <f>AI51-AI$32</f>
        <v>#DIV/0!</v>
      </c>
      <c r="AJ53" s="73" t="e">
        <f t="shared" ref="AJ53:AX53" si="55">AJ51-AJ$32</f>
        <v>#DIV/0!</v>
      </c>
      <c r="AK53" s="73" t="e">
        <f t="shared" si="55"/>
        <v>#DIV/0!</v>
      </c>
      <c r="AL53" s="73" t="e">
        <f t="shared" si="55"/>
        <v>#DIV/0!</v>
      </c>
      <c r="AM53" s="73" t="e">
        <f t="shared" si="55"/>
        <v>#DIV/0!</v>
      </c>
      <c r="AN53" s="73" t="e">
        <f t="shared" si="55"/>
        <v>#DIV/0!</v>
      </c>
      <c r="AO53" s="73" t="e">
        <f t="shared" si="55"/>
        <v>#DIV/0!</v>
      </c>
      <c r="AP53" s="73" t="e">
        <f t="shared" si="55"/>
        <v>#DIV/0!</v>
      </c>
      <c r="AQ53" s="73" t="e">
        <f t="shared" si="55"/>
        <v>#DIV/0!</v>
      </c>
      <c r="AR53" s="73" t="e">
        <f t="shared" si="55"/>
        <v>#DIV/0!</v>
      </c>
      <c r="AS53" s="73" t="e">
        <f t="shared" si="55"/>
        <v>#DIV/0!</v>
      </c>
      <c r="AT53" s="73" t="e">
        <f t="shared" si="55"/>
        <v>#DIV/0!</v>
      </c>
      <c r="AU53" s="73" t="e">
        <f t="shared" si="55"/>
        <v>#DIV/0!</v>
      </c>
      <c r="AV53" s="73" t="e">
        <f t="shared" si="55"/>
        <v>#DIV/0!</v>
      </c>
      <c r="AW53" s="73" t="e">
        <f t="shared" si="55"/>
        <v>#DIV/0!</v>
      </c>
      <c r="AX53" s="73" t="e">
        <f t="shared" si="55"/>
        <v>#DIV/0!</v>
      </c>
      <c r="AY53" s="73" t="e">
        <f>AY51-AY$32</f>
        <v>#DIV/0!</v>
      </c>
      <c r="AZ53" s="73" t="e">
        <f>AZ51-AZ$32</f>
        <v>#DIV/0!</v>
      </c>
      <c r="BA53" s="73" t="e">
        <f>BA51-BA$32</f>
        <v>#DIV/0!</v>
      </c>
      <c r="BB53" s="73" t="e">
        <f>BB51-BB$32</f>
        <v>#DIV/0!</v>
      </c>
      <c r="BC53" s="130"/>
    </row>
    <row r="54" spans="1:55" ht="14.25" customHeight="1">
      <c r="A54" s="113"/>
      <c r="E54" s="93"/>
      <c r="I54" s="93"/>
      <c r="J54" s="107"/>
      <c r="K54" s="105" t="s">
        <v>48</v>
      </c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105" t="s">
        <v>48</v>
      </c>
      <c r="AH54" s="73"/>
      <c r="AI54" s="73" t="e">
        <f>AH51*EXP((AI$4-AH$4)*-LN(2)/8.091)</f>
        <v>#DIV/0!</v>
      </c>
      <c r="AJ54" s="73" t="e">
        <f>AI51*EXP((AJ$4-AI$4)*-LN(2)/8.091)</f>
        <v>#DIV/0!</v>
      </c>
      <c r="AK54" s="73" t="e">
        <f t="shared" ref="AK54:AX54" si="56">AJ51*EXP((AK$4-AJ$4)*-LN(2)/8.091)</f>
        <v>#DIV/0!</v>
      </c>
      <c r="AL54" s="73" t="e">
        <f t="shared" si="56"/>
        <v>#DIV/0!</v>
      </c>
      <c r="AM54" s="73" t="e">
        <f t="shared" si="56"/>
        <v>#DIV/0!</v>
      </c>
      <c r="AN54" s="73" t="e">
        <f t="shared" si="56"/>
        <v>#DIV/0!</v>
      </c>
      <c r="AO54" s="73" t="e">
        <f t="shared" si="56"/>
        <v>#DIV/0!</v>
      </c>
      <c r="AP54" s="73" t="e">
        <f t="shared" si="56"/>
        <v>#DIV/0!</v>
      </c>
      <c r="AQ54" s="73" t="e">
        <f t="shared" si="56"/>
        <v>#DIV/0!</v>
      </c>
      <c r="AR54" s="73" t="e">
        <f t="shared" si="56"/>
        <v>#DIV/0!</v>
      </c>
      <c r="AS54" s="73" t="e">
        <f t="shared" si="56"/>
        <v>#DIV/0!</v>
      </c>
      <c r="AT54" s="73" t="e">
        <f t="shared" si="56"/>
        <v>#DIV/0!</v>
      </c>
      <c r="AU54" s="73" t="e">
        <f t="shared" si="56"/>
        <v>#DIV/0!</v>
      </c>
      <c r="AV54" s="73" t="e">
        <f t="shared" si="56"/>
        <v>#DIV/0!</v>
      </c>
      <c r="AW54" s="73" t="e">
        <f t="shared" si="56"/>
        <v>#DIV/0!</v>
      </c>
      <c r="AX54" s="73" t="e">
        <f t="shared" si="56"/>
        <v>#DIV/0!</v>
      </c>
      <c r="AY54" s="73" t="e">
        <f>AX51*EXP((AY$4-AX$4)*-LN(2)/8.091)</f>
        <v>#DIV/0!</v>
      </c>
      <c r="AZ54" s="73" t="e">
        <f>AY51*EXP((AZ$4-AY$4)*-LN(2)/8.091)</f>
        <v>#DIV/0!</v>
      </c>
      <c r="BA54" s="73" t="e">
        <f>AZ51*EXP((BA$4-AZ$4)*-LN(2)/8.091)</f>
        <v>#DIV/0!</v>
      </c>
      <c r="BB54" s="73" t="e">
        <f>BA51*EXP((BB$4-BA$4)*-LN(2)/8.091)</f>
        <v>#DIV/0!</v>
      </c>
      <c r="BC54" s="130"/>
    </row>
    <row r="55" spans="1:55" ht="14.25" customHeight="1">
      <c r="A55" s="113"/>
      <c r="E55" s="93"/>
      <c r="I55" s="93"/>
      <c r="J55" s="107"/>
      <c r="K55" s="105" t="s">
        <v>35</v>
      </c>
      <c r="L55" s="80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105" t="s">
        <v>35</v>
      </c>
      <c r="AH55" s="147"/>
      <c r="AI55" s="74" t="e">
        <f t="shared" ref="AI55:BB55" si="57">AI51-AI54</f>
        <v>#DIV/0!</v>
      </c>
      <c r="AJ55" s="74" t="e">
        <f t="shared" si="57"/>
        <v>#DIV/0!</v>
      </c>
      <c r="AK55" s="74" t="e">
        <f t="shared" si="57"/>
        <v>#DIV/0!</v>
      </c>
      <c r="AL55" s="74" t="e">
        <f t="shared" si="57"/>
        <v>#DIV/0!</v>
      </c>
      <c r="AM55" s="74" t="e">
        <f t="shared" si="57"/>
        <v>#DIV/0!</v>
      </c>
      <c r="AN55" s="74" t="e">
        <f t="shared" si="57"/>
        <v>#DIV/0!</v>
      </c>
      <c r="AO55" s="74" t="e">
        <f t="shared" si="57"/>
        <v>#DIV/0!</v>
      </c>
      <c r="AP55" s="74" t="e">
        <f t="shared" si="57"/>
        <v>#DIV/0!</v>
      </c>
      <c r="AQ55" s="74" t="e">
        <f t="shared" si="57"/>
        <v>#DIV/0!</v>
      </c>
      <c r="AR55" s="74" t="e">
        <f t="shared" si="57"/>
        <v>#DIV/0!</v>
      </c>
      <c r="AS55" s="74" t="e">
        <f t="shared" si="57"/>
        <v>#DIV/0!</v>
      </c>
      <c r="AT55" s="74" t="e">
        <f t="shared" si="57"/>
        <v>#DIV/0!</v>
      </c>
      <c r="AU55" s="74" t="e">
        <f t="shared" si="57"/>
        <v>#DIV/0!</v>
      </c>
      <c r="AV55" s="74" t="e">
        <f t="shared" si="57"/>
        <v>#DIV/0!</v>
      </c>
      <c r="AW55" s="74" t="e">
        <f t="shared" si="57"/>
        <v>#DIV/0!</v>
      </c>
      <c r="AX55" s="74" t="e">
        <f t="shared" si="57"/>
        <v>#DIV/0!</v>
      </c>
      <c r="AY55" s="74" t="e">
        <f t="shared" si="57"/>
        <v>#DIV/0!</v>
      </c>
      <c r="AZ55" s="74" t="e">
        <f t="shared" si="57"/>
        <v>#DIV/0!</v>
      </c>
      <c r="BA55" s="74" t="e">
        <f t="shared" si="57"/>
        <v>#DIV/0!</v>
      </c>
      <c r="BB55" s="74" t="e">
        <f t="shared" si="57"/>
        <v>#DIV/0!</v>
      </c>
      <c r="BC55" s="130"/>
    </row>
    <row r="56" spans="1:55" ht="14.25" customHeight="1">
      <c r="A56" s="113"/>
      <c r="E56" s="93"/>
      <c r="I56" s="93"/>
      <c r="J56" s="107"/>
      <c r="K56" s="105" t="s">
        <v>49</v>
      </c>
      <c r="L56" s="80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105" t="s">
        <v>49</v>
      </c>
      <c r="AH56" s="147" t="e">
        <f>AH51/AH$32</f>
        <v>#DIV/0!</v>
      </c>
      <c r="AI56" s="74" t="e">
        <f>AI51/AI$32</f>
        <v>#DIV/0!</v>
      </c>
      <c r="AJ56" s="74" t="e">
        <f>AJ51/AJ$32</f>
        <v>#DIV/0!</v>
      </c>
      <c r="AK56" s="74" t="e">
        <f t="shared" ref="AK56:AX56" si="58">AK51/AK$32</f>
        <v>#DIV/0!</v>
      </c>
      <c r="AL56" s="74" t="e">
        <f t="shared" si="58"/>
        <v>#DIV/0!</v>
      </c>
      <c r="AM56" s="74" t="e">
        <f t="shared" si="58"/>
        <v>#DIV/0!</v>
      </c>
      <c r="AN56" s="74" t="e">
        <f t="shared" si="58"/>
        <v>#DIV/0!</v>
      </c>
      <c r="AO56" s="74" t="e">
        <f t="shared" si="58"/>
        <v>#DIV/0!</v>
      </c>
      <c r="AP56" s="74" t="e">
        <f t="shared" si="58"/>
        <v>#DIV/0!</v>
      </c>
      <c r="AQ56" s="74" t="e">
        <f t="shared" si="58"/>
        <v>#DIV/0!</v>
      </c>
      <c r="AR56" s="74" t="e">
        <f t="shared" si="58"/>
        <v>#DIV/0!</v>
      </c>
      <c r="AS56" s="74" t="e">
        <f t="shared" si="58"/>
        <v>#DIV/0!</v>
      </c>
      <c r="AT56" s="74" t="e">
        <f t="shared" si="58"/>
        <v>#DIV/0!</v>
      </c>
      <c r="AU56" s="74" t="e">
        <f t="shared" si="58"/>
        <v>#DIV/0!</v>
      </c>
      <c r="AV56" s="74" t="e">
        <f t="shared" si="58"/>
        <v>#DIV/0!</v>
      </c>
      <c r="AW56" s="74" t="e">
        <f t="shared" si="58"/>
        <v>#DIV/0!</v>
      </c>
      <c r="AX56" s="74" t="e">
        <f t="shared" si="58"/>
        <v>#DIV/0!</v>
      </c>
      <c r="AY56" s="74" t="e">
        <f>AY51/AY$32</f>
        <v>#DIV/0!</v>
      </c>
      <c r="AZ56" s="74" t="e">
        <f>AZ51/AZ$32</f>
        <v>#DIV/0!</v>
      </c>
      <c r="BA56" s="74" t="e">
        <f>BA51/BA$32</f>
        <v>#DIV/0!</v>
      </c>
      <c r="BB56" s="74" t="e">
        <f>BB51/BB$32</f>
        <v>#DIV/0!</v>
      </c>
      <c r="BC56" s="130"/>
    </row>
    <row r="57" spans="1:55" ht="15">
      <c r="A57" s="113"/>
      <c r="E57" s="52"/>
      <c r="I57" s="52"/>
      <c r="K57" s="133"/>
      <c r="AG57" s="132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148"/>
    </row>
    <row r="58" spans="1:55" ht="14.25" customHeight="1">
      <c r="A58" s="113"/>
      <c r="E58" s="118" t="str">
        <f>'FIG6 Groups'!C9</f>
        <v>MIA PaCa-2 - CP-PTX Combo</v>
      </c>
      <c r="I58" s="118" t="str">
        <f>E58</f>
        <v>MIA PaCa-2 - CP-PTX Combo</v>
      </c>
      <c r="J58" s="107">
        <f>AVERAGEIF($E$5:$E$30,$E58,J$5:J$30)</f>
        <v>981.6</v>
      </c>
      <c r="K58" s="106" t="s">
        <v>9</v>
      </c>
      <c r="L58" s="78">
        <f>AVERAGEIF($E$5:$E$30,$E58,L$5:L$30)</f>
        <v>981.6</v>
      </c>
      <c r="M58" s="78">
        <f>AVERAGEIF($E$5:$E$30,$E58,M$5:M$30)</f>
        <v>745.8</v>
      </c>
      <c r="N58" s="78">
        <f>AVERAGEIF($E$5:$E$30,$E58,N$5:N$30)</f>
        <v>634.4</v>
      </c>
      <c r="O58" s="78">
        <f>AVERAGEIF($E$5:$E$30,$E58,O$5:O$30)</f>
        <v>495.8</v>
      </c>
      <c r="P58" s="78">
        <f>AVERAGEIF($E$5:$E$30,$E58,P$5:P$30)</f>
        <v>355.6</v>
      </c>
      <c r="Q58" s="78">
        <f>AVERAGEIF($E$5:$E$30,$E58,Q$5:Q$30)</f>
        <v>287.39999999999998</v>
      </c>
      <c r="R58" s="78">
        <f>AVERAGEIF($E$5:$E$30,$E58,R$5:R$30)</f>
        <v>232.6</v>
      </c>
      <c r="S58" s="78">
        <f>AVERAGEIF($E$5:$E$30,$E58,S$5:S$30)</f>
        <v>153.19999999999999</v>
      </c>
      <c r="T58" s="78">
        <f>AVERAGEIF($E$5:$E$30,$E58,T$5:T$30)</f>
        <v>122.2</v>
      </c>
      <c r="U58" s="78">
        <f>AVERAGEIF($E$5:$E$30,$E58,U$5:U$30)</f>
        <v>107.2</v>
      </c>
      <c r="V58" s="78">
        <f>AVERAGEIF($E$5:$E$30,$E58,V$5:V$30)</f>
        <v>81.400000000000006</v>
      </c>
      <c r="W58" s="78">
        <f>AVERAGEIF($E$5:$E$30,$E58,W$5:W$30)</f>
        <v>51.379999999999995</v>
      </c>
      <c r="X58" s="78" t="e">
        <f>AVERAGEIF($E$5:$E$30,$E58,X$5:X$30)</f>
        <v>#DIV/0!</v>
      </c>
      <c r="Y58" s="78" t="e">
        <f>AVERAGEIF($E$5:$E$30,$E58,Y$5:Y$30)</f>
        <v>#DIV/0!</v>
      </c>
      <c r="Z58" s="78" t="e">
        <f>AVERAGEIF($E$5:$E$30,$E58,Z$5:Z$30)</f>
        <v>#DIV/0!</v>
      </c>
      <c r="AA58" s="78" t="e">
        <f>AVERAGEIF($E$5:$E$30,$E58,AA$5:AA$30)</f>
        <v>#DIV/0!</v>
      </c>
      <c r="AB58" s="78" t="e">
        <f>AVERAGEIF($E$5:$E$30,$E58,AB$5:AB$30)</f>
        <v>#DIV/0!</v>
      </c>
      <c r="AC58" s="78" t="e">
        <f>AVERAGEIF($E$5:$E$30,$E58,AC$5:AC$30)</f>
        <v>#DIV/0!</v>
      </c>
      <c r="AD58" s="78" t="e">
        <f>AVERAGEIF($E$5:$E$30,$E58,AD$5:AD$30)</f>
        <v>#DIV/0!</v>
      </c>
      <c r="AE58" s="78" t="e">
        <f>AVERAGEIF($E$5:$E$30,$E58,AE$5:AE$30)</f>
        <v>#DIV/0!</v>
      </c>
      <c r="AF58" s="78" t="e">
        <f>AVERAGEIF($E$5:$E$30,$E58,AF$5:AF$30)</f>
        <v>#DIV/0!</v>
      </c>
      <c r="AG58" s="136" t="s">
        <v>9</v>
      </c>
      <c r="AH58" s="73">
        <f>AVERAGEIF($E$5:$E$30,$E58,AH$5:AH$30)</f>
        <v>1</v>
      </c>
      <c r="AI58" s="73">
        <f>AVERAGEIF($E$5:$E$30,$E58,AI$5:AI$30)</f>
        <v>0.74481779209861165</v>
      </c>
      <c r="AJ58" s="73">
        <f>AVERAGEIF($E$5:$E$30,$E58,AJ$5:AJ$30)</f>
        <v>0.63564505729581855</v>
      </c>
      <c r="AK58" s="73">
        <f>AVERAGEIF($E$5:$E$30,$E58,AK$5:AK$30)</f>
        <v>0.5000666388008923</v>
      </c>
      <c r="AL58" s="73">
        <f>AVERAGEIF($E$5:$E$30,$E58,AL$5:AL$30)</f>
        <v>0.36115199629302958</v>
      </c>
      <c r="AM58" s="73">
        <f>AVERAGEIF($E$5:$E$30,$E58,AM$5:AM$30)</f>
        <v>0.29259763854303278</v>
      </c>
      <c r="AN58" s="73">
        <f>AVERAGEIF($E$5:$E$30,$E58,AN$5:AN$30)</f>
        <v>0.23938786025509021</v>
      </c>
      <c r="AO58" s="73">
        <f>AVERAGEIF($E$5:$E$30,$E58,AO$5:AO$30)</f>
        <v>0.15697000686846643</v>
      </c>
      <c r="AP58" s="73">
        <f>AVERAGEIF($E$5:$E$30,$E58,AP$5:AP$30)</f>
        <v>0.12604661616585083</v>
      </c>
      <c r="AQ58" s="73">
        <f>AVERAGEIF($E$5:$E$30,$E58,AQ$5:AQ$30)</f>
        <v>0.11037525464298414</v>
      </c>
      <c r="AR58" s="73">
        <f>AVERAGEIF($E$5:$E$30,$E58,AR$5:AR$30)</f>
        <v>8.489774499567837E-2</v>
      </c>
      <c r="AS58" s="73">
        <f>AVERAGEIF($E$5:$E$30,$E58,AS$5:AS$30)</f>
        <v>5.2774378509436407E-2</v>
      </c>
      <c r="AT58" s="73" t="e">
        <f>AVERAGEIF($E$5:$E$30,$E58,AT$5:AT$30)</f>
        <v>#DIV/0!</v>
      </c>
      <c r="AU58" s="73" t="e">
        <f>AVERAGEIF($E$5:$E$30,$E58,AU$5:AU$30)</f>
        <v>#DIV/0!</v>
      </c>
      <c r="AV58" s="73" t="e">
        <f>AVERAGEIF($E$5:$E$30,$E58,AV$5:AV$30)</f>
        <v>#DIV/0!</v>
      </c>
      <c r="AW58" s="73" t="e">
        <f>AVERAGEIF($E$5:$E$30,$E58,AW$5:AW$30)</f>
        <v>#DIV/0!</v>
      </c>
      <c r="AX58" s="73" t="e">
        <f>AVERAGEIF($E$5:$E$30,$E58,AX$5:AX$30)</f>
        <v>#DIV/0!</v>
      </c>
      <c r="AY58" s="73" t="e">
        <f>AVERAGEIF($E$5:$E$30,$E58,AY$5:AY$30)</f>
        <v>#DIV/0!</v>
      </c>
      <c r="AZ58" s="73" t="e">
        <f>AVERAGEIF($E$5:$E$30,$E58,AZ$5:AZ$30)</f>
        <v>#DIV/0!</v>
      </c>
      <c r="BA58" s="73" t="e">
        <f>AVERAGEIF($E$5:$E$30,$E58,BA$5:BA$30)</f>
        <v>#DIV/0!</v>
      </c>
      <c r="BB58" s="73" t="e">
        <f>AVERAGEIF($E$5:$E$30,$E58,BB$5:BB$30)</f>
        <v>#DIV/0!</v>
      </c>
      <c r="BC58" s="76"/>
    </row>
    <row r="59" spans="1:55" ht="14.25" customHeight="1">
      <c r="A59" s="113"/>
      <c r="E59" s="93"/>
      <c r="I59" s="93"/>
      <c r="J59" s="107">
        <f t="array" ref="J59">_xlfn.STDEV.P(IF($E$5:$E$30=$E58,J$5:J$30))</f>
        <v>388.62969521126405</v>
      </c>
      <c r="K59" s="106" t="s">
        <v>11</v>
      </c>
      <c r="L59" s="81">
        <f t="array" ref="L59">_xlfn.STDEV.P(IF($E$5:$E$30=$E58,L$5:L$30))</f>
        <v>388.62969521126405</v>
      </c>
      <c r="M59" s="81">
        <f t="array" ref="M59">_xlfn.STDEV.P(IF($E$5:$E$30=$E58,M$5:M$30))</f>
        <v>344.01825532956821</v>
      </c>
      <c r="N59" s="81">
        <f t="array" ref="N59">_xlfn.STDEV.P(IF($E$5:$E$30=$E58,N$5:N$30))</f>
        <v>282.85798556873021</v>
      </c>
      <c r="O59" s="81">
        <f t="array" ref="O59">_xlfn.STDEV.P(IF($E$5:$E$30=$E58,O$5:O$30))</f>
        <v>210.68592738956249</v>
      </c>
      <c r="P59" s="81">
        <f t="array" ref="P59">_xlfn.STDEV.P(IF($E$5:$E$30=$E58,P$5:P$30))</f>
        <v>143.5849574293909</v>
      </c>
      <c r="Q59" s="81">
        <f t="array" ref="Q59">_xlfn.STDEV.P(IF($E$5:$E$30=$E58,Q$5:Q$30))</f>
        <v>113.99754383318967</v>
      </c>
      <c r="R59" s="81">
        <f t="array" ref="R59">_xlfn.STDEV.P(IF($E$5:$E$30=$E58,R$5:R$30))</f>
        <v>83.93473655168043</v>
      </c>
      <c r="S59" s="81">
        <f t="array" ref="S59">_xlfn.STDEV.P(IF($E$5:$E$30=$E58,S$5:S$30))</f>
        <v>57.794117347702439</v>
      </c>
      <c r="T59" s="81">
        <f t="array" ref="T59">_xlfn.STDEV.P(IF($E$5:$E$30=$E58,T$5:T$30))</f>
        <v>43.489768911779699</v>
      </c>
      <c r="U59" s="81">
        <f t="array" ref="U59">_xlfn.STDEV.P(IF($E$5:$E$30=$E58,U$5:U$30))</f>
        <v>38.762868830879896</v>
      </c>
      <c r="V59" s="81">
        <f t="array" ref="V59">_xlfn.STDEV.P(IF($E$5:$E$30=$E58,V$5:V$30))</f>
        <v>25.865807545870283</v>
      </c>
      <c r="W59" s="81">
        <f t="array" ref="W59">_xlfn.STDEV.P(IF($E$5:$E$30=$E58,W$5:W$30))</f>
        <v>18.770551403728138</v>
      </c>
      <c r="X59" s="81">
        <f t="array" ref="X59">_xlfn.STDEV.P(IF($E$5:$E$30=$E58,X$5:X$30))</f>
        <v>0</v>
      </c>
      <c r="Y59" s="81">
        <f t="array" ref="Y59">_xlfn.STDEV.P(IF($E$5:$E$30=$E58,Y$5:Y$30))</f>
        <v>0</v>
      </c>
      <c r="Z59" s="81">
        <f t="array" ref="Z59">_xlfn.STDEV.P(IF($E$5:$E$30=$E58,Z$5:Z$30))</f>
        <v>0</v>
      </c>
      <c r="AA59" s="81">
        <f t="array" ref="AA59">_xlfn.STDEV.P(IF($E$5:$E$30=$E58,AA$5:AA$30))</f>
        <v>0</v>
      </c>
      <c r="AB59" s="81">
        <f t="array" ref="AB59">_xlfn.STDEV.P(IF($E$5:$E$30=$E58,AB$5:AB$30))</f>
        <v>0</v>
      </c>
      <c r="AC59" s="81">
        <f t="array" ref="AC59">_xlfn.STDEV.P(IF($E$5:$E$30=$E58,AC$5:AC$30))</f>
        <v>0</v>
      </c>
      <c r="AD59" s="81">
        <f t="array" ref="AD59">_xlfn.STDEV.P(IF($E$5:$E$30=$E58,AD$5:AD$30))</f>
        <v>0</v>
      </c>
      <c r="AE59" s="81">
        <f t="array" ref="AE59">_xlfn.STDEV.P(IF($E$5:$E$30=$E58,AE$5:AE$30))</f>
        <v>0</v>
      </c>
      <c r="AF59" s="81">
        <f t="array" ref="AF59">_xlfn.STDEV.P(IF($E$5:$E$30=$E58,AF$5:AF$30))</f>
        <v>0</v>
      </c>
      <c r="AG59" s="137" t="s">
        <v>11</v>
      </c>
      <c r="AH59" s="74">
        <f t="array" ref="AH59">_xlfn.STDEV.P(IF($E$5:$E$30=$E58,AH$5:AH$30))</f>
        <v>0</v>
      </c>
      <c r="AI59" s="74">
        <f t="array" ref="AI59">_xlfn.STDEV.P(IF($E$5:$E$30=$E58,AI$5:AI$30))</f>
        <v>4.6151628020301594E-2</v>
      </c>
      <c r="AJ59" s="74">
        <f t="array" ref="AJ59">_xlfn.STDEV.P(IF($E$5:$E$30=$E58,AJ$5:AJ$30))</f>
        <v>3.4320395756588039E-2</v>
      </c>
      <c r="AK59" s="74">
        <f t="array" ref="AK59">_xlfn.STDEV.P(IF($E$5:$E$30=$E58,AK$5:AK$30))</f>
        <v>2.1900702604928417E-2</v>
      </c>
      <c r="AL59" s="74">
        <f t="array" ref="AL59">_xlfn.STDEV.P(IF($E$5:$E$30=$E58,AL$5:AL$30))</f>
        <v>7.6633542447830339E-3</v>
      </c>
      <c r="AM59" s="74">
        <f t="array" ref="AM59">_xlfn.STDEV.P(IF($E$5:$E$30=$E58,AM$5:AM$30))</f>
        <v>5.5169543325058893E-3</v>
      </c>
      <c r="AN59" s="74">
        <f t="array" ref="AN59">_xlfn.STDEV.P(IF($E$5:$E$30=$E58,AN$5:AN$30))</f>
        <v>8.1743399976720848E-3</v>
      </c>
      <c r="AO59" s="74">
        <f t="array" ref="AO59">_xlfn.STDEV.P(IF($E$5:$E$30=$E58,AO$5:AO$30))</f>
        <v>2.37378579229201E-3</v>
      </c>
      <c r="AP59" s="74">
        <f t="array" ref="AP59">_xlfn.STDEV.P(IF($E$5:$E$30=$E58,AP$5:AP$30))</f>
        <v>4.0535278932587494E-3</v>
      </c>
      <c r="AQ59" s="74">
        <f t="array" ref="AQ59">_xlfn.STDEV.P(IF($E$5:$E$30=$E58,AQ$5:AQ$30))</f>
        <v>3.3013695588231897E-3</v>
      </c>
      <c r="AR59" s="74">
        <f t="array" ref="AR59">_xlfn.STDEV.P(IF($E$5:$E$30=$E58,AR$5:AR$30))</f>
        <v>5.1292587543998258E-3</v>
      </c>
      <c r="AS59" s="74">
        <f t="array" ref="AS59">_xlfn.STDEV.P(IF($E$5:$E$30=$E58,AS$5:AS$30))</f>
        <v>2.2319834283021775E-3</v>
      </c>
      <c r="AT59" s="74" t="e">
        <f t="array" ref="AT59">_xlfn.STDEV.P(IF($E$5:$E$30=$E58,AT$5:AT$30))</f>
        <v>#DIV/0!</v>
      </c>
      <c r="AU59" s="74" t="e">
        <f t="array" ref="AU59">_xlfn.STDEV.P(IF($E$5:$E$30=$E58,AU$5:AU$30))</f>
        <v>#DIV/0!</v>
      </c>
      <c r="AV59" s="74" t="e">
        <f t="array" ref="AV59">_xlfn.STDEV.P(IF($E$5:$E$30=$E58,AV$5:AV$30))</f>
        <v>#DIV/0!</v>
      </c>
      <c r="AW59" s="74" t="e">
        <f t="array" ref="AW59">_xlfn.STDEV.P(IF($E$5:$E$30=$E58,AW$5:AW$30))</f>
        <v>#DIV/0!</v>
      </c>
      <c r="AX59" s="74" t="e">
        <f t="array" ref="AX59">_xlfn.STDEV.P(IF($E$5:$E$30=$E58,AX$5:AX$30))</f>
        <v>#DIV/0!</v>
      </c>
      <c r="AY59" s="74">
        <f t="array" ref="AY59">_xlfn.STDEV.P(IF($E$5:$E$30=$E58,AY$5:AY$30))</f>
        <v>0</v>
      </c>
      <c r="AZ59" s="74">
        <f t="array" ref="AZ59">_xlfn.STDEV.P(IF($E$5:$E$30=$E58,AZ$5:AZ$30))</f>
        <v>0</v>
      </c>
      <c r="BA59" s="74" t="e">
        <f t="array" ref="BA59">_xlfn.STDEV.P(IF($E$5:$E$30=$E58,BA$5:BA$30))</f>
        <v>#DIV/0!</v>
      </c>
      <c r="BB59" s="74" t="e">
        <f t="array" ref="BB59">_xlfn.STDEV.P(IF($E$5:$E$30=$E58,BB$5:BB$30))</f>
        <v>#DIV/0!</v>
      </c>
      <c r="BC59" s="76"/>
    </row>
    <row r="60" spans="1:55" ht="14.25" customHeight="1">
      <c r="A60" s="113"/>
      <c r="E60" s="93"/>
      <c r="I60" s="93"/>
      <c r="J60" s="107"/>
      <c r="K60" s="131" t="s">
        <v>34</v>
      </c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131" t="s">
        <v>34</v>
      </c>
      <c r="AH60" s="73">
        <f>AH58-AH$32</f>
        <v>0</v>
      </c>
      <c r="AI60" s="73">
        <f>AI58-AI$32</f>
        <v>-0.1723814426708179</v>
      </c>
      <c r="AJ60" s="73">
        <f t="shared" ref="AJ60:AX60" si="59">AJ58-AJ$32</f>
        <v>-0.20560937896580855</v>
      </c>
      <c r="AK60" s="73">
        <f t="shared" si="59"/>
        <v>-0.2076423877289757</v>
      </c>
      <c r="AL60" s="73">
        <f t="shared" si="59"/>
        <v>-0.18491482021250355</v>
      </c>
      <c r="AM60" s="73">
        <f t="shared" si="59"/>
        <v>-0.16678349333751091</v>
      </c>
      <c r="AN60" s="73">
        <f t="shared" si="59"/>
        <v>-0.14706855487430473</v>
      </c>
      <c r="AO60" s="73">
        <f t="shared" si="59"/>
        <v>-9.3882785380250494E-2</v>
      </c>
      <c r="AP60" s="73">
        <f t="shared" si="59"/>
        <v>-8.498440816199862E-2</v>
      </c>
      <c r="AQ60" s="73">
        <f t="shared" si="59"/>
        <v>-6.7155530761654536E-2</v>
      </c>
      <c r="AR60" s="73">
        <f t="shared" si="59"/>
        <v>-5.2084640679102345E-2</v>
      </c>
      <c r="AS60" s="73">
        <f t="shared" si="59"/>
        <v>-4.4169292308201602E-2</v>
      </c>
      <c r="AT60" s="73" t="e">
        <f t="shared" si="59"/>
        <v>#DIV/0!</v>
      </c>
      <c r="AU60" s="73" t="e">
        <f t="shared" si="59"/>
        <v>#DIV/0!</v>
      </c>
      <c r="AV60" s="73" t="e">
        <f t="shared" si="59"/>
        <v>#DIV/0!</v>
      </c>
      <c r="AW60" s="73" t="e">
        <f t="shared" si="59"/>
        <v>#DIV/0!</v>
      </c>
      <c r="AX60" s="73" t="e">
        <f t="shared" si="59"/>
        <v>#DIV/0!</v>
      </c>
      <c r="AY60" s="73" t="e">
        <f>AY58-AY$32</f>
        <v>#DIV/0!</v>
      </c>
      <c r="AZ60" s="73" t="e">
        <f>AZ58-AZ$32</f>
        <v>#DIV/0!</v>
      </c>
      <c r="BA60" s="73" t="e">
        <f>BA58-BA$32</f>
        <v>#DIV/0!</v>
      </c>
      <c r="BB60" s="73" t="e">
        <f>BB58-BB$32</f>
        <v>#DIV/0!</v>
      </c>
      <c r="BC60" s="130"/>
    </row>
    <row r="61" spans="1:55" ht="14.25" customHeight="1">
      <c r="A61" s="113"/>
      <c r="E61" s="93"/>
      <c r="I61" s="93"/>
      <c r="J61" s="107"/>
      <c r="K61" s="105" t="s">
        <v>48</v>
      </c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105" t="s">
        <v>48</v>
      </c>
      <c r="AH61" s="73"/>
      <c r="AI61" s="73">
        <f>AH58*EXP((AI$4-AH$4)*-LN(2)/8.091)</f>
        <v>0.91789808441829013</v>
      </c>
      <c r="AJ61" s="73">
        <f>AI58*EXP((AJ$4-AI$4)*-LN(2)/8.091)</f>
        <v>0.6836668246079759</v>
      </c>
      <c r="AK61" s="73">
        <f t="shared" ref="AK61:AX61" si="60">AJ58*EXP((AK$4-AJ$4)*-LN(2)/8.091)</f>
        <v>0.53555441186558694</v>
      </c>
      <c r="AL61" s="73">
        <f t="shared" si="60"/>
        <v>0.38673303622506017</v>
      </c>
      <c r="AM61" s="73">
        <f t="shared" si="60"/>
        <v>0.3042838809942689</v>
      </c>
      <c r="AN61" s="73">
        <f t="shared" si="60"/>
        <v>0.24652430538801007</v>
      </c>
      <c r="AO61" s="73">
        <f t="shared" si="60"/>
        <v>0.15598198415747588</v>
      </c>
      <c r="AP61" s="73">
        <f t="shared" si="60"/>
        <v>0.13225302194060135</v>
      </c>
      <c r="AQ61" s="73">
        <f t="shared" si="60"/>
        <v>0.10619892440528177</v>
      </c>
      <c r="AR61" s="73">
        <f t="shared" si="60"/>
        <v>8.5360138109895567E-2</v>
      </c>
      <c r="AS61" s="73">
        <f t="shared" si="60"/>
        <v>6.0266227821851252E-2</v>
      </c>
      <c r="AT61" s="73" t="e">
        <f t="shared" si="60"/>
        <v>#VALUE!</v>
      </c>
      <c r="AU61" s="73" t="e">
        <f t="shared" si="60"/>
        <v>#DIV/0!</v>
      </c>
      <c r="AV61" s="73" t="e">
        <f t="shared" si="60"/>
        <v>#DIV/0!</v>
      </c>
      <c r="AW61" s="73" t="e">
        <f t="shared" si="60"/>
        <v>#DIV/0!</v>
      </c>
      <c r="AX61" s="73" t="e">
        <f t="shared" si="60"/>
        <v>#DIV/0!</v>
      </c>
      <c r="AY61" s="73" t="e">
        <f>AX58*EXP((AY$4-AX$4)*-LN(2)/8.091)</f>
        <v>#DIV/0!</v>
      </c>
      <c r="AZ61" s="73" t="e">
        <f>AY58*EXP((AZ$4-AY$4)*-LN(2)/8.091)</f>
        <v>#DIV/0!</v>
      </c>
      <c r="BA61" s="73" t="e">
        <f>AZ58*EXP((BA$4-AZ$4)*-LN(2)/8.091)</f>
        <v>#DIV/0!</v>
      </c>
      <c r="BB61" s="73" t="e">
        <f>BA58*EXP((BB$4-BA$4)*-LN(2)/8.091)</f>
        <v>#DIV/0!</v>
      </c>
      <c r="BC61" s="130"/>
    </row>
    <row r="62" spans="1:55" ht="14.25" customHeight="1">
      <c r="A62" s="113"/>
      <c r="E62" s="93"/>
      <c r="I62" s="93"/>
      <c r="J62" s="107"/>
      <c r="K62" s="105" t="s">
        <v>35</v>
      </c>
      <c r="L62" s="80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105" t="s">
        <v>35</v>
      </c>
      <c r="AH62" s="147"/>
      <c r="AI62" s="74">
        <f t="shared" ref="AI62:BB62" si="61">AI58-AI61</f>
        <v>-0.17308029231967847</v>
      </c>
      <c r="AJ62" s="74">
        <f t="shared" si="61"/>
        <v>-4.8021767312157349E-2</v>
      </c>
      <c r="AK62" s="74">
        <f t="shared" si="61"/>
        <v>-3.5487773064694639E-2</v>
      </c>
      <c r="AL62" s="74">
        <f t="shared" si="61"/>
        <v>-2.5581039932030591E-2</v>
      </c>
      <c r="AM62" s="74">
        <f t="shared" si="61"/>
        <v>-1.1686242451236117E-2</v>
      </c>
      <c r="AN62" s="74">
        <f t="shared" si="61"/>
        <v>-7.1364451329198608E-3</v>
      </c>
      <c r="AO62" s="74">
        <f t="shared" si="61"/>
        <v>9.8802271099054928E-4</v>
      </c>
      <c r="AP62" s="74">
        <f t="shared" si="61"/>
        <v>-6.2064057747505119E-3</v>
      </c>
      <c r="AQ62" s="74">
        <f t="shared" si="61"/>
        <v>4.1763302377023775E-3</v>
      </c>
      <c r="AR62" s="74">
        <f t="shared" si="61"/>
        <v>-4.6239311421719664E-4</v>
      </c>
      <c r="AS62" s="74">
        <f t="shared" si="61"/>
        <v>-7.4918493124148458E-3</v>
      </c>
      <c r="AT62" s="74" t="e">
        <f t="shared" si="61"/>
        <v>#DIV/0!</v>
      </c>
      <c r="AU62" s="74" t="e">
        <f t="shared" si="61"/>
        <v>#DIV/0!</v>
      </c>
      <c r="AV62" s="74" t="e">
        <f t="shared" si="61"/>
        <v>#DIV/0!</v>
      </c>
      <c r="AW62" s="74" t="e">
        <f t="shared" si="61"/>
        <v>#DIV/0!</v>
      </c>
      <c r="AX62" s="74" t="e">
        <f t="shared" si="61"/>
        <v>#DIV/0!</v>
      </c>
      <c r="AY62" s="74" t="e">
        <f t="shared" si="61"/>
        <v>#DIV/0!</v>
      </c>
      <c r="AZ62" s="74" t="e">
        <f t="shared" si="61"/>
        <v>#DIV/0!</v>
      </c>
      <c r="BA62" s="74" t="e">
        <f t="shared" si="61"/>
        <v>#DIV/0!</v>
      </c>
      <c r="BB62" s="74" t="e">
        <f t="shared" si="61"/>
        <v>#DIV/0!</v>
      </c>
      <c r="BC62" s="130"/>
    </row>
    <row r="63" spans="1:55" ht="14.25" customHeight="1">
      <c r="A63" s="113"/>
      <c r="E63" s="93"/>
      <c r="I63" s="93"/>
      <c r="J63" s="107"/>
      <c r="K63" s="105" t="s">
        <v>49</v>
      </c>
      <c r="L63" s="80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105" t="s">
        <v>49</v>
      </c>
      <c r="AH63" s="147">
        <f>AH58/AH$32</f>
        <v>1</v>
      </c>
      <c r="AI63" s="74">
        <f>AI58/AI$32</f>
        <v>0.81205670901573301</v>
      </c>
      <c r="AJ63" s="74">
        <f>AJ58/AJ$32</f>
        <v>0.75559192308156242</v>
      </c>
      <c r="AK63" s="74">
        <f t="shared" ref="AK63:AX63" si="62">AK58/AK$32</f>
        <v>0.70659920963970857</v>
      </c>
      <c r="AL63" s="74">
        <f t="shared" si="62"/>
        <v>0.66136960785158816</v>
      </c>
      <c r="AM63" s="74">
        <f t="shared" si="62"/>
        <v>0.6369387383091718</v>
      </c>
      <c r="AN63" s="74">
        <f t="shared" si="62"/>
        <v>0.61944335993216049</v>
      </c>
      <c r="AO63" s="74">
        <f t="shared" si="62"/>
        <v>0.62574550381258243</v>
      </c>
      <c r="AP63" s="74">
        <f t="shared" si="62"/>
        <v>0.59728950549957904</v>
      </c>
      <c r="AQ63" s="74">
        <f t="shared" si="62"/>
        <v>0.62172458929537389</v>
      </c>
      <c r="AR63" s="74">
        <f t="shared" si="62"/>
        <v>0.61977125436579805</v>
      </c>
      <c r="AS63" s="74">
        <f t="shared" si="62"/>
        <v>0.54438188758821571</v>
      </c>
      <c r="AT63" s="74" t="e">
        <f t="shared" si="62"/>
        <v>#DIV/0!</v>
      </c>
      <c r="AU63" s="74" t="e">
        <f t="shared" si="62"/>
        <v>#DIV/0!</v>
      </c>
      <c r="AV63" s="74" t="e">
        <f t="shared" si="62"/>
        <v>#DIV/0!</v>
      </c>
      <c r="AW63" s="74" t="e">
        <f t="shared" si="62"/>
        <v>#DIV/0!</v>
      </c>
      <c r="AX63" s="74" t="e">
        <f t="shared" si="62"/>
        <v>#DIV/0!</v>
      </c>
      <c r="AY63" s="74" t="e">
        <f>AY58/AY$32</f>
        <v>#DIV/0!</v>
      </c>
      <c r="AZ63" s="74" t="e">
        <f>AZ58/AZ$32</f>
        <v>#DIV/0!</v>
      </c>
      <c r="BA63" s="74" t="e">
        <f>BA58/BA$32</f>
        <v>#DIV/0!</v>
      </c>
      <c r="BB63" s="74" t="e">
        <f>BB58/BB$32</f>
        <v>#DIV/0!</v>
      </c>
      <c r="BC63" s="130"/>
    </row>
    <row r="64" spans="1:55" ht="15">
      <c r="A64" s="113"/>
      <c r="E64" s="52"/>
      <c r="I64" s="52"/>
      <c r="K64" s="133"/>
      <c r="AG64" s="132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148"/>
    </row>
    <row r="65" spans="1:55" ht="14.25" customHeight="1">
      <c r="A65" s="113"/>
      <c r="E65" s="118" t="str">
        <f>'FIG6 Groups'!C10</f>
        <v>Not Included</v>
      </c>
      <c r="I65" s="118" t="str">
        <f>E65</f>
        <v>Not Included</v>
      </c>
      <c r="J65" s="107">
        <f>AVERAGEIF($E$5:$E$30,$E65,J$5:J$30)</f>
        <v>153.5</v>
      </c>
      <c r="K65" s="106" t="s">
        <v>9</v>
      </c>
      <c r="L65" s="78">
        <f>AVERAGEIF($E$5:$E$30,$E65,L$5:L$30)</f>
        <v>153.5</v>
      </c>
      <c r="M65" s="78">
        <f>AVERAGEIF($E$5:$E$30,$E65,M$5:M$30)</f>
        <v>85.5</v>
      </c>
      <c r="N65" s="78">
        <f>AVERAGEIF($E$5:$E$30,$E65,N$5:N$30)</f>
        <v>76.5</v>
      </c>
      <c r="O65" s="78">
        <f>AVERAGEIF($E$5:$E$30,$E65,O$5:O$30)</f>
        <v>62.5</v>
      </c>
      <c r="P65" s="78">
        <f>AVERAGEIF($E$5:$E$30,$E65,P$5:P$30)</f>
        <v>40.5</v>
      </c>
      <c r="Q65" s="78">
        <f>AVERAGEIF($E$5:$E$30,$E65,Q$5:Q$30)</f>
        <v>34</v>
      </c>
      <c r="R65" s="78">
        <f>AVERAGEIF($E$5:$E$30,$E65,R$5:R$30)</f>
        <v>28</v>
      </c>
      <c r="S65" s="78">
        <f>AVERAGEIF($E$5:$E$30,$E65,S$5:S$30)</f>
        <v>16.5</v>
      </c>
      <c r="T65" s="78" t="e">
        <f>AVERAGEIF($E$5:$E$30,$E65,T$5:T$30)</f>
        <v>#DIV/0!</v>
      </c>
      <c r="U65" s="78" t="e">
        <f>AVERAGEIF($E$5:$E$30,$E65,U$5:U$30)</f>
        <v>#DIV/0!</v>
      </c>
      <c r="V65" s="78" t="e">
        <f>AVERAGEIF($E$5:$E$30,$E65,V$5:V$30)</f>
        <v>#DIV/0!</v>
      </c>
      <c r="W65" s="78" t="e">
        <f>AVERAGEIF($E$5:$E$30,$E65,W$5:W$30)</f>
        <v>#DIV/0!</v>
      </c>
      <c r="X65" s="78" t="e">
        <f>AVERAGEIF($E$5:$E$30,$E65,X$5:X$30)</f>
        <v>#DIV/0!</v>
      </c>
      <c r="Y65" s="78" t="e">
        <f>AVERAGEIF($E$5:$E$30,$E65,Y$5:Y$30)</f>
        <v>#DIV/0!</v>
      </c>
      <c r="Z65" s="78" t="e">
        <f>AVERAGEIF($E$5:$E$30,$E65,Z$5:Z$30)</f>
        <v>#DIV/0!</v>
      </c>
      <c r="AA65" s="78" t="e">
        <f>AVERAGEIF($E$5:$E$30,$E65,AA$5:AA$30)</f>
        <v>#DIV/0!</v>
      </c>
      <c r="AB65" s="78" t="e">
        <f>AVERAGEIF($E$5:$E$30,$E65,AB$5:AB$30)</f>
        <v>#DIV/0!</v>
      </c>
      <c r="AC65" s="78" t="e">
        <f>AVERAGEIF($E$5:$E$30,$E65,AC$5:AC$30)</f>
        <v>#DIV/0!</v>
      </c>
      <c r="AD65" s="78" t="e">
        <f>AVERAGEIF($E$5:$E$30,$E65,AD$5:AD$30)</f>
        <v>#DIV/0!</v>
      </c>
      <c r="AE65" s="78" t="e">
        <f>AVERAGEIF($E$5:$E$30,$E65,AE$5:AE$30)</f>
        <v>#DIV/0!</v>
      </c>
      <c r="AF65" s="78" t="e">
        <f>AVERAGEIF($E$5:$E$30,$E65,AF$5:AF$30)</f>
        <v>#DIV/0!</v>
      </c>
      <c r="AG65" s="136" t="s">
        <v>9</v>
      </c>
      <c r="AH65" s="73">
        <f>AVERAGEIF($E$5:$E$30,$E65,AH$5:AH$30)</f>
        <v>1</v>
      </c>
      <c r="AI65" s="73">
        <f>AVERAGEIF($E$5:$E$30,$E65,AI$5:AI$30)</f>
        <v>0.51801358841408907</v>
      </c>
      <c r="AJ65" s="73">
        <f>AVERAGEIF($E$5:$E$30,$E65,AJ$5:AJ$30)</f>
        <v>0.46551492937600569</v>
      </c>
      <c r="AK65" s="73">
        <f>AVERAGEIF($E$5:$E$30,$E65,AK$5:AK$30)</f>
        <v>0.38487841945288753</v>
      </c>
      <c r="AL65" s="73">
        <f>AVERAGEIF($E$5:$E$30,$E65,AL$5:AL$30)</f>
        <v>0.24009923118183446</v>
      </c>
      <c r="AM65" s="73">
        <f>AVERAGEIF($E$5:$E$30,$E65,AM$5:AM$30)</f>
        <v>0.20089844448417665</v>
      </c>
      <c r="AN65" s="73">
        <f>AVERAGEIF($E$5:$E$30,$E65,AN$5:AN$30)</f>
        <v>0.16589933845878779</v>
      </c>
      <c r="AO65" s="73">
        <f>AVERAGEIF($E$5:$E$30,$E65,AO$5:AO$30)</f>
        <v>0.10010280708027891</v>
      </c>
      <c r="AP65" s="73" t="e">
        <f>AVERAGEIF($E$5:$E$30,$E65,AP$5:AP$30)</f>
        <v>#DIV/0!</v>
      </c>
      <c r="AQ65" s="73" t="e">
        <f>AVERAGEIF($E$5:$E$30,$E65,AQ$5:AQ$30)</f>
        <v>#DIV/0!</v>
      </c>
      <c r="AR65" s="73" t="e">
        <f>AVERAGEIF($E$5:$E$30,$E65,AR$5:AR$30)</f>
        <v>#DIV/0!</v>
      </c>
      <c r="AS65" s="73" t="e">
        <f>AVERAGEIF($E$5:$E$30,$E65,AS$5:AS$30)</f>
        <v>#DIV/0!</v>
      </c>
      <c r="AT65" s="73" t="e">
        <f>AVERAGEIF($E$5:$E$30,$E65,AT$5:AT$30)</f>
        <v>#DIV/0!</v>
      </c>
      <c r="AU65" s="73" t="e">
        <f>AVERAGEIF($E$5:$E$30,$E65,AU$5:AU$30)</f>
        <v>#DIV/0!</v>
      </c>
      <c r="AV65" s="73" t="e">
        <f>AVERAGEIF($E$5:$E$30,$E65,AV$5:AV$30)</f>
        <v>#DIV/0!</v>
      </c>
      <c r="AW65" s="73" t="e">
        <f>AVERAGEIF($E$5:$E$30,$E65,AW$5:AW$30)</f>
        <v>#DIV/0!</v>
      </c>
      <c r="AX65" s="73" t="e">
        <f>AVERAGEIF($E$5:$E$30,$E65,AX$5:AX$30)</f>
        <v>#DIV/0!</v>
      </c>
      <c r="AY65" s="73" t="e">
        <f>AVERAGEIF($E$5:$E$30,$E65,AY$5:AY$30)</f>
        <v>#DIV/0!</v>
      </c>
      <c r="AZ65" s="73" t="e">
        <f>AVERAGEIF($E$5:$E$30,$E65,AZ$5:AZ$30)</f>
        <v>#DIV/0!</v>
      </c>
      <c r="BA65" s="73" t="e">
        <f>AVERAGEIF($E$5:$E$30,$E65,BA$5:BA$30)</f>
        <v>#DIV/0!</v>
      </c>
      <c r="BB65" s="73" t="e">
        <f>AVERAGEIF($E$5:$E$30,$E65,BB$5:BB$30)</f>
        <v>#DIV/0!</v>
      </c>
      <c r="BC65" s="76"/>
    </row>
    <row r="66" spans="1:55" ht="14.25" customHeight="1">
      <c r="A66" s="113"/>
      <c r="E66" s="93"/>
      <c r="I66" s="93"/>
      <c r="J66" s="107">
        <f t="array" ref="J66">_xlfn.STDEV.P(IF($E$5:$E$30=$E65,J$5:J$30))</f>
        <v>34.5</v>
      </c>
      <c r="K66" s="106" t="s">
        <v>11</v>
      </c>
      <c r="L66" s="81">
        <f t="array" ref="L66">_xlfn.STDEV.P(IF($E$5:$E$30=$E65,L$5:L$30))</f>
        <v>34.5</v>
      </c>
      <c r="M66" s="81">
        <f t="array" ref="M66">_xlfn.STDEV.P(IF($E$5:$E$30=$E65,M$5:M$30))</f>
        <v>44.5</v>
      </c>
      <c r="N66" s="81">
        <f t="array" ref="N66">_xlfn.STDEV.P(IF($E$5:$E$30=$E65,N$5:N$30))</f>
        <v>38.5</v>
      </c>
      <c r="O66" s="81">
        <f t="array" ref="O66">_xlfn.STDEV.P(IF($E$5:$E$30=$E65,O$5:O$30))</f>
        <v>28.5</v>
      </c>
      <c r="P66" s="81">
        <f t="array" ref="P66">_xlfn.STDEV.P(IF($E$5:$E$30=$E65,P$5:P$30))</f>
        <v>24.5</v>
      </c>
      <c r="Q66" s="81">
        <f t="array" ref="Q66">_xlfn.STDEV.P(IF($E$5:$E$30=$E65,Q$5:Q$30))</f>
        <v>21</v>
      </c>
      <c r="R66" s="81">
        <f t="array" ref="R66">_xlfn.STDEV.P(IF($E$5:$E$30=$E65,R$5:R$30))</f>
        <v>17</v>
      </c>
      <c r="S66" s="81">
        <f t="array" ref="S66">_xlfn.STDEV.P(IF($E$5:$E$30=$E65,S$5:S$30))</f>
        <v>8.5</v>
      </c>
      <c r="T66" s="81">
        <f t="array" ref="T66">_xlfn.STDEV.P(IF($E$5:$E$30=$E65,T$5:T$30))</f>
        <v>0</v>
      </c>
      <c r="U66" s="81">
        <f t="array" ref="U66">_xlfn.STDEV.P(IF($E$5:$E$30=$E65,U$5:U$30))</f>
        <v>0</v>
      </c>
      <c r="V66" s="81">
        <f t="array" ref="V66">_xlfn.STDEV.P(IF($E$5:$E$30=$E65,V$5:V$30))</f>
        <v>0</v>
      </c>
      <c r="W66" s="81">
        <f t="array" ref="W66">_xlfn.STDEV.P(IF($E$5:$E$30=$E65,W$5:W$30))</f>
        <v>0</v>
      </c>
      <c r="X66" s="81">
        <f t="array" ref="X66">_xlfn.STDEV.P(IF($E$5:$E$30=$E65,X$5:X$30))</f>
        <v>0</v>
      </c>
      <c r="Y66" s="81">
        <f t="array" ref="Y66">_xlfn.STDEV.P(IF($E$5:$E$30=$E65,Y$5:Y$30))</f>
        <v>0</v>
      </c>
      <c r="Z66" s="81">
        <f t="array" ref="Z66">_xlfn.STDEV.P(IF($E$5:$E$30=$E65,Z$5:Z$30))</f>
        <v>0</v>
      </c>
      <c r="AA66" s="81">
        <f t="array" ref="AA66">_xlfn.STDEV.P(IF($E$5:$E$30=$E65,AA$5:AA$30))</f>
        <v>0</v>
      </c>
      <c r="AB66" s="81">
        <f t="array" ref="AB66">_xlfn.STDEV.P(IF($E$5:$E$30=$E65,AB$5:AB$30))</f>
        <v>0</v>
      </c>
      <c r="AC66" s="81">
        <f t="array" ref="AC66">_xlfn.STDEV.P(IF($E$5:$E$30=$E65,AC$5:AC$30))</f>
        <v>0</v>
      </c>
      <c r="AD66" s="81">
        <f t="array" ref="AD66">_xlfn.STDEV.P(IF($E$5:$E$30=$E65,AD$5:AD$30))</f>
        <v>0</v>
      </c>
      <c r="AE66" s="81">
        <f t="array" ref="AE66">_xlfn.STDEV.P(IF($E$5:$E$30=$E65,AE$5:AE$30))</f>
        <v>0</v>
      </c>
      <c r="AF66" s="81">
        <f t="array" ref="AF66">_xlfn.STDEV.P(IF($E$5:$E$30=$E65,AF$5:AF$30))</f>
        <v>0</v>
      </c>
      <c r="AG66" s="137" t="s">
        <v>11</v>
      </c>
      <c r="AH66" s="74">
        <f t="array" ref="AH66">_xlfn.STDEV.P(IF($E$5:$E$30=$E65,AH$5:AH$30))</f>
        <v>0</v>
      </c>
      <c r="AI66" s="74">
        <f t="array" ref="AI66">_xlfn.STDEV.P(IF($E$5:$E$30=$E65,AI$5:AI$30))</f>
        <v>0.1734757732880387</v>
      </c>
      <c r="AJ66" s="74">
        <f t="array" ref="AJ66">_xlfn.STDEV.P(IF($E$5:$E$30=$E65,AJ$5:AJ$30))</f>
        <v>0.14618719828356874</v>
      </c>
      <c r="AK66" s="74">
        <f t="array" ref="AK66">_xlfn.STDEV.P(IF($E$5:$E$30=$E65,AK$5:AK$30))</f>
        <v>9.9164133738601806E-2</v>
      </c>
      <c r="AL66" s="74">
        <f t="array" ref="AL66">_xlfn.STDEV.P(IF($E$5:$E$30=$E65,AL$5:AL$30))</f>
        <v>0.1056454496692294</v>
      </c>
      <c r="AM66" s="74">
        <f t="array" ref="AM66">_xlfn.STDEV.P(IF($E$5:$E$30=$E65,AM$5:AM$30))</f>
        <v>9.1654747005185042E-2</v>
      </c>
      <c r="AN66" s="74">
        <f t="array" ref="AN66">_xlfn.STDEV.P(IF($E$5:$E$30=$E65,AN$5:AN$30))</f>
        <v>7.346236366887178E-2</v>
      </c>
      <c r="AO66" s="74">
        <f t="array" ref="AO66">_xlfn.STDEV.P(IF($E$5:$E$30=$E65,AO$5:AO$30))</f>
        <v>3.2875916323976413E-2</v>
      </c>
      <c r="AP66" s="74" t="e">
        <f t="array" ref="AP66">_xlfn.STDEV.P(IF($E$5:$E$30=$E65,AP$5:AP$30))</f>
        <v>#DIV/0!</v>
      </c>
      <c r="AQ66" s="74" t="e">
        <f t="array" ref="AQ66">_xlfn.STDEV.P(IF($E$5:$E$30=$E65,AQ$5:AQ$30))</f>
        <v>#DIV/0!</v>
      </c>
      <c r="AR66" s="74" t="e">
        <f t="array" ref="AR66">_xlfn.STDEV.P(IF($E$5:$E$30=$E65,AR$5:AR$30))</f>
        <v>#DIV/0!</v>
      </c>
      <c r="AS66" s="74" t="e">
        <f t="array" ref="AS66">_xlfn.STDEV.P(IF($E$5:$E$30=$E65,AS$5:AS$30))</f>
        <v>#DIV/0!</v>
      </c>
      <c r="AT66" s="74" t="e">
        <f t="array" ref="AT66">_xlfn.STDEV.P(IF($E$5:$E$30=$E65,AT$5:AT$30))</f>
        <v>#DIV/0!</v>
      </c>
      <c r="AU66" s="74" t="e">
        <f t="array" ref="AU66">_xlfn.STDEV.P(IF($E$5:$E$30=$E65,AU$5:AU$30))</f>
        <v>#DIV/0!</v>
      </c>
      <c r="AV66" s="74" t="e">
        <f t="array" ref="AV66">_xlfn.STDEV.P(IF($E$5:$E$30=$E65,AV$5:AV$30))</f>
        <v>#DIV/0!</v>
      </c>
      <c r="AW66" s="74" t="e">
        <f t="array" ref="AW66">_xlfn.STDEV.P(IF($E$5:$E$30=$E65,AW$5:AW$30))</f>
        <v>#DIV/0!</v>
      </c>
      <c r="AX66" s="74" t="e">
        <f t="array" ref="AX66">_xlfn.STDEV.P(IF($E$5:$E$30=$E65,AX$5:AX$30))</f>
        <v>#DIV/0!</v>
      </c>
      <c r="AY66" s="74">
        <f t="array" ref="AY66">_xlfn.STDEV.P(IF($E$5:$E$30=$E65,AY$5:AY$30))</f>
        <v>0</v>
      </c>
      <c r="AZ66" s="74">
        <f t="array" ref="AZ66">_xlfn.STDEV.P(IF($E$5:$E$30=$E65,AZ$5:AZ$30))</f>
        <v>0</v>
      </c>
      <c r="BA66" s="74" t="e">
        <f t="array" ref="BA66">_xlfn.STDEV.P(IF($E$5:$E$30=$E65,BA$5:BA$30))</f>
        <v>#DIV/0!</v>
      </c>
      <c r="BB66" s="74" t="e">
        <f t="array" ref="BB66">_xlfn.STDEV.P(IF($E$5:$E$30=$E65,BB$5:BB$30))</f>
        <v>#DIV/0!</v>
      </c>
      <c r="BC66" s="76"/>
    </row>
    <row r="67" spans="1:55" ht="14.25" customHeight="1">
      <c r="A67" s="113"/>
      <c r="E67" s="93"/>
      <c r="I67" s="93"/>
      <c r="J67" s="107"/>
      <c r="K67" s="131" t="s">
        <v>34</v>
      </c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131" t="s">
        <v>34</v>
      </c>
      <c r="AH67" s="73">
        <f>AH65-AH$32</f>
        <v>0</v>
      </c>
      <c r="AI67" s="73">
        <f>AI65-AI$32</f>
        <v>-0.39918564635534048</v>
      </c>
      <c r="AJ67" s="73">
        <f t="shared" ref="AJ67:AX67" si="63">AJ65-AJ$32</f>
        <v>-0.37573950688562141</v>
      </c>
      <c r="AK67" s="73">
        <f t="shared" si="63"/>
        <v>-0.32283060707698047</v>
      </c>
      <c r="AL67" s="73">
        <f t="shared" si="63"/>
        <v>-0.30596758532369867</v>
      </c>
      <c r="AM67" s="73">
        <f t="shared" si="63"/>
        <v>-0.25848268739636704</v>
      </c>
      <c r="AN67" s="73">
        <f t="shared" si="63"/>
        <v>-0.22055707667060714</v>
      </c>
      <c r="AO67" s="73">
        <f t="shared" si="63"/>
        <v>-0.15074998516843802</v>
      </c>
      <c r="AP67" s="73" t="e">
        <f t="shared" si="63"/>
        <v>#DIV/0!</v>
      </c>
      <c r="AQ67" s="73" t="e">
        <f t="shared" si="63"/>
        <v>#DIV/0!</v>
      </c>
      <c r="AR67" s="73" t="e">
        <f t="shared" si="63"/>
        <v>#DIV/0!</v>
      </c>
      <c r="AS67" s="73" t="e">
        <f t="shared" si="63"/>
        <v>#DIV/0!</v>
      </c>
      <c r="AT67" s="73" t="e">
        <f t="shared" si="63"/>
        <v>#DIV/0!</v>
      </c>
      <c r="AU67" s="73" t="e">
        <f t="shared" si="63"/>
        <v>#DIV/0!</v>
      </c>
      <c r="AV67" s="73" t="e">
        <f t="shared" si="63"/>
        <v>#DIV/0!</v>
      </c>
      <c r="AW67" s="73" t="e">
        <f t="shared" si="63"/>
        <v>#DIV/0!</v>
      </c>
      <c r="AX67" s="73" t="e">
        <f t="shared" si="63"/>
        <v>#DIV/0!</v>
      </c>
      <c r="AY67" s="73" t="e">
        <f>AY65-AY$32</f>
        <v>#DIV/0!</v>
      </c>
      <c r="AZ67" s="73" t="e">
        <f>AZ65-AZ$32</f>
        <v>#DIV/0!</v>
      </c>
      <c r="BA67" s="73" t="e">
        <f>BA65-BA$32</f>
        <v>#DIV/0!</v>
      </c>
      <c r="BB67" s="73" t="e">
        <f>BB65-BB$32</f>
        <v>#DIV/0!</v>
      </c>
      <c r="BC67" s="130"/>
    </row>
    <row r="68" spans="1:55" ht="14.25" customHeight="1">
      <c r="A68" s="113"/>
      <c r="E68" s="93"/>
      <c r="I68" s="93"/>
      <c r="J68" s="107"/>
      <c r="K68" s="105" t="s">
        <v>48</v>
      </c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105" t="s">
        <v>48</v>
      </c>
      <c r="AH68" s="73"/>
      <c r="AI68" s="73">
        <f>AH65*EXP((AI$4-AH$4)*-LN(2)/8.091)</f>
        <v>0.91789808441829013</v>
      </c>
      <c r="AJ68" s="73">
        <f>AI65*EXP((AJ$4-AI$4)*-LN(2)/8.091)</f>
        <v>0.47548368050793693</v>
      </c>
      <c r="AK68" s="73">
        <f t="shared" ref="AK68:AX68" si="64">AJ65*EXP((AK$4-AJ$4)*-LN(2)/8.091)</f>
        <v>0.39221350241789571</v>
      </c>
      <c r="AL68" s="73">
        <f t="shared" si="64"/>
        <v>0.29765072928966574</v>
      </c>
      <c r="AM68" s="73">
        <f t="shared" si="64"/>
        <v>0.20229246034257306</v>
      </c>
      <c r="AN68" s="73">
        <f t="shared" si="64"/>
        <v>0.16926435130032477</v>
      </c>
      <c r="AO68" s="73">
        <f t="shared" si="64"/>
        <v>0.10809782900285617</v>
      </c>
      <c r="AP68" s="73">
        <f t="shared" si="64"/>
        <v>8.4340308095912184E-2</v>
      </c>
      <c r="AQ68" s="73" t="e">
        <f t="shared" si="64"/>
        <v>#DIV/0!</v>
      </c>
      <c r="AR68" s="73" t="e">
        <f t="shared" si="64"/>
        <v>#DIV/0!</v>
      </c>
      <c r="AS68" s="73" t="e">
        <f t="shared" si="64"/>
        <v>#DIV/0!</v>
      </c>
      <c r="AT68" s="73" t="e">
        <f t="shared" si="64"/>
        <v>#DIV/0!</v>
      </c>
      <c r="AU68" s="73" t="e">
        <f t="shared" si="64"/>
        <v>#DIV/0!</v>
      </c>
      <c r="AV68" s="73" t="e">
        <f t="shared" si="64"/>
        <v>#DIV/0!</v>
      </c>
      <c r="AW68" s="73" t="e">
        <f t="shared" si="64"/>
        <v>#DIV/0!</v>
      </c>
      <c r="AX68" s="73" t="e">
        <f t="shared" si="64"/>
        <v>#DIV/0!</v>
      </c>
      <c r="AY68" s="73" t="e">
        <f>AX65*EXP((AY$4-AX$4)*-LN(2)/8.091)</f>
        <v>#DIV/0!</v>
      </c>
      <c r="AZ68" s="73" t="e">
        <f>AY65*EXP((AZ$4-AY$4)*-LN(2)/8.091)</f>
        <v>#DIV/0!</v>
      </c>
      <c r="BA68" s="73" t="e">
        <f>AZ65*EXP((BA$4-AZ$4)*-LN(2)/8.091)</f>
        <v>#DIV/0!</v>
      </c>
      <c r="BB68" s="73" t="e">
        <f>BA65*EXP((BB$4-BA$4)*-LN(2)/8.091)</f>
        <v>#DIV/0!</v>
      </c>
      <c r="BC68" s="130"/>
    </row>
    <row r="69" spans="1:55" ht="14.25" customHeight="1">
      <c r="A69" s="113"/>
      <c r="E69" s="93"/>
      <c r="I69" s="93"/>
      <c r="J69" s="107"/>
      <c r="K69" s="105" t="s">
        <v>35</v>
      </c>
      <c r="L69" s="80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105" t="s">
        <v>35</v>
      </c>
      <c r="AH69" s="147"/>
      <c r="AI69" s="74">
        <f t="shared" ref="AI69:BB69" si="65">AI65-AI68</f>
        <v>-0.39988449600420106</v>
      </c>
      <c r="AJ69" s="74">
        <f t="shared" si="65"/>
        <v>-9.9687511319312416E-3</v>
      </c>
      <c r="AK69" s="74">
        <f t="shared" si="65"/>
        <v>-7.3350829650081772E-3</v>
      </c>
      <c r="AL69" s="74">
        <f t="shared" si="65"/>
        <v>-5.7551498107831278E-2</v>
      </c>
      <c r="AM69" s="74">
        <f t="shared" si="65"/>
        <v>-1.394015858396408E-3</v>
      </c>
      <c r="AN69" s="74">
        <f t="shared" si="65"/>
        <v>-3.3650128415369795E-3</v>
      </c>
      <c r="AO69" s="74">
        <f t="shared" si="65"/>
        <v>-7.9950219225772556E-3</v>
      </c>
      <c r="AP69" s="74" t="e">
        <f t="shared" si="65"/>
        <v>#DIV/0!</v>
      </c>
      <c r="AQ69" s="74" t="e">
        <f t="shared" si="65"/>
        <v>#DIV/0!</v>
      </c>
      <c r="AR69" s="74" t="e">
        <f t="shared" si="65"/>
        <v>#DIV/0!</v>
      </c>
      <c r="AS69" s="74" t="e">
        <f t="shared" si="65"/>
        <v>#DIV/0!</v>
      </c>
      <c r="AT69" s="74" t="e">
        <f t="shared" si="65"/>
        <v>#DIV/0!</v>
      </c>
      <c r="AU69" s="74" t="e">
        <f t="shared" si="65"/>
        <v>#DIV/0!</v>
      </c>
      <c r="AV69" s="74" t="e">
        <f t="shared" si="65"/>
        <v>#DIV/0!</v>
      </c>
      <c r="AW69" s="74" t="e">
        <f t="shared" si="65"/>
        <v>#DIV/0!</v>
      </c>
      <c r="AX69" s="74" t="e">
        <f t="shared" si="65"/>
        <v>#DIV/0!</v>
      </c>
      <c r="AY69" s="74" t="e">
        <f t="shared" si="65"/>
        <v>#DIV/0!</v>
      </c>
      <c r="AZ69" s="74" t="e">
        <f t="shared" si="65"/>
        <v>#DIV/0!</v>
      </c>
      <c r="BA69" s="74" t="e">
        <f t="shared" si="65"/>
        <v>#DIV/0!</v>
      </c>
      <c r="BB69" s="74" t="e">
        <f t="shared" si="65"/>
        <v>#DIV/0!</v>
      </c>
      <c r="BC69" s="130"/>
    </row>
    <row r="70" spans="1:55" ht="14.25" customHeight="1">
      <c r="A70" s="113"/>
      <c r="E70" s="93"/>
      <c r="I70" s="93"/>
      <c r="J70" s="107"/>
      <c r="K70" s="105" t="s">
        <v>49</v>
      </c>
      <c r="L70" s="80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105" t="s">
        <v>49</v>
      </c>
      <c r="AH70" s="147">
        <f>AH65/AH$32</f>
        <v>1</v>
      </c>
      <c r="AI70" s="74">
        <f>AI65/AI$32</f>
        <v>0.56477760640992036</v>
      </c>
      <c r="AJ70" s="74">
        <f>AJ65/AJ$32</f>
        <v>0.55335806779773367</v>
      </c>
      <c r="AK70" s="74">
        <f t="shared" ref="AK70:AX70" si="66">AK65/AK$32</f>
        <v>0.543837092682107</v>
      </c>
      <c r="AL70" s="74">
        <f t="shared" si="66"/>
        <v>0.43968837498368957</v>
      </c>
      <c r="AM70" s="74">
        <f t="shared" si="66"/>
        <v>0.43732410963804619</v>
      </c>
      <c r="AN70" s="74">
        <f t="shared" si="66"/>
        <v>0.42928343783150991</v>
      </c>
      <c r="AO70" s="74">
        <f t="shared" si="66"/>
        <v>0.39905000132917962</v>
      </c>
      <c r="AP70" s="74" t="e">
        <f t="shared" si="66"/>
        <v>#DIV/0!</v>
      </c>
      <c r="AQ70" s="74" t="e">
        <f t="shared" si="66"/>
        <v>#DIV/0!</v>
      </c>
      <c r="AR70" s="74" t="e">
        <f t="shared" si="66"/>
        <v>#DIV/0!</v>
      </c>
      <c r="AS70" s="74" t="e">
        <f t="shared" si="66"/>
        <v>#DIV/0!</v>
      </c>
      <c r="AT70" s="74" t="e">
        <f t="shared" si="66"/>
        <v>#DIV/0!</v>
      </c>
      <c r="AU70" s="74" t="e">
        <f t="shared" si="66"/>
        <v>#DIV/0!</v>
      </c>
      <c r="AV70" s="74" t="e">
        <f t="shared" si="66"/>
        <v>#DIV/0!</v>
      </c>
      <c r="AW70" s="74" t="e">
        <f t="shared" si="66"/>
        <v>#DIV/0!</v>
      </c>
      <c r="AX70" s="74" t="e">
        <f t="shared" si="66"/>
        <v>#DIV/0!</v>
      </c>
      <c r="AY70" s="74" t="e">
        <f>AY65/AY$32</f>
        <v>#DIV/0!</v>
      </c>
      <c r="AZ70" s="74" t="e">
        <f>AZ65/AZ$32</f>
        <v>#DIV/0!</v>
      </c>
      <c r="BA70" s="74" t="e">
        <f>BA65/BA$32</f>
        <v>#DIV/0!</v>
      </c>
      <c r="BB70" s="74" t="e">
        <f>BB65/BB$32</f>
        <v>#DIV/0!</v>
      </c>
      <c r="BC70" s="130"/>
    </row>
    <row r="71" spans="1:55" ht="15">
      <c r="A71" s="113"/>
      <c r="E71" s="52"/>
      <c r="I71" s="52"/>
      <c r="K71" s="133"/>
      <c r="AG71" s="132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148"/>
    </row>
    <row r="72" spans="1:55" ht="14.25" customHeight="1">
      <c r="A72" s="113"/>
      <c r="E72" s="118" t="str">
        <f>'FIG6 Groups'!C11</f>
        <v>Group 6</v>
      </c>
      <c r="I72" s="118" t="str">
        <f>E72</f>
        <v>Group 6</v>
      </c>
      <c r="J72" s="107" t="e">
        <f>AVERAGEIF($E$5:$E$30,$E72,J$5:J$30)</f>
        <v>#DIV/0!</v>
      </c>
      <c r="K72" s="106" t="s">
        <v>9</v>
      </c>
      <c r="L72" s="78" t="e">
        <f>AVERAGEIF($E$5:$E$30,$E72,L$5:L$30)</f>
        <v>#DIV/0!</v>
      </c>
      <c r="M72" s="78" t="e">
        <f>AVERAGEIF($E$5:$E$30,$E72,M$5:M$30)</f>
        <v>#DIV/0!</v>
      </c>
      <c r="N72" s="78" t="e">
        <f>AVERAGEIF($E$5:$E$30,$E72,N$5:N$30)</f>
        <v>#DIV/0!</v>
      </c>
      <c r="O72" s="78" t="e">
        <f>AVERAGEIF($E$5:$E$30,$E72,O$5:O$30)</f>
        <v>#DIV/0!</v>
      </c>
      <c r="P72" s="78" t="e">
        <f>AVERAGEIF($E$5:$E$30,$E72,P$5:P$30)</f>
        <v>#DIV/0!</v>
      </c>
      <c r="Q72" s="78" t="e">
        <f>AVERAGEIF($E$5:$E$30,$E72,Q$5:Q$30)</f>
        <v>#DIV/0!</v>
      </c>
      <c r="R72" s="78" t="e">
        <f>AVERAGEIF($E$5:$E$30,$E72,R$5:R$30)</f>
        <v>#DIV/0!</v>
      </c>
      <c r="S72" s="78" t="e">
        <f>AVERAGEIF($E$5:$E$30,$E72,S$5:S$30)</f>
        <v>#DIV/0!</v>
      </c>
      <c r="T72" s="78" t="e">
        <f>AVERAGEIF($E$5:$E$30,$E72,T$5:T$30)</f>
        <v>#DIV/0!</v>
      </c>
      <c r="U72" s="78" t="e">
        <f>AVERAGEIF($E$5:$E$30,$E72,U$5:U$30)</f>
        <v>#DIV/0!</v>
      </c>
      <c r="V72" s="78" t="e">
        <f>AVERAGEIF($E$5:$E$30,$E72,V$5:V$30)</f>
        <v>#DIV/0!</v>
      </c>
      <c r="W72" s="78" t="e">
        <f>AVERAGEIF($E$5:$E$30,$E72,W$5:W$30)</f>
        <v>#DIV/0!</v>
      </c>
      <c r="X72" s="78" t="e">
        <f>AVERAGEIF($E$5:$E$30,$E72,X$5:X$30)</f>
        <v>#DIV/0!</v>
      </c>
      <c r="Y72" s="78" t="e">
        <f>AVERAGEIF($E$5:$E$30,$E72,Y$5:Y$30)</f>
        <v>#DIV/0!</v>
      </c>
      <c r="Z72" s="78" t="e">
        <f>AVERAGEIF($E$5:$E$30,$E72,Z$5:Z$30)</f>
        <v>#DIV/0!</v>
      </c>
      <c r="AA72" s="78" t="e">
        <f>AVERAGEIF($E$5:$E$30,$E72,AA$5:AA$30)</f>
        <v>#DIV/0!</v>
      </c>
      <c r="AB72" s="78" t="e">
        <f>AVERAGEIF($E$5:$E$30,$E72,AB$5:AB$30)</f>
        <v>#DIV/0!</v>
      </c>
      <c r="AC72" s="78" t="e">
        <f>AVERAGEIF($E$5:$E$30,$E72,AC$5:AC$30)</f>
        <v>#DIV/0!</v>
      </c>
      <c r="AD72" s="78" t="e">
        <f>AVERAGEIF($E$5:$E$30,$E72,AD$5:AD$30)</f>
        <v>#DIV/0!</v>
      </c>
      <c r="AE72" s="78" t="e">
        <f>AVERAGEIF($E$5:$E$30,$E72,AE$5:AE$30)</f>
        <v>#DIV/0!</v>
      </c>
      <c r="AF72" s="78" t="e">
        <f>AVERAGEIF($E$5:$E$30,$E72,AF$5:AF$30)</f>
        <v>#DIV/0!</v>
      </c>
      <c r="AG72" s="136" t="s">
        <v>9</v>
      </c>
      <c r="AH72" s="73" t="e">
        <f>AVERAGEIF($E$5:$E$30,$E72,AH$5:AH$30)</f>
        <v>#DIV/0!</v>
      </c>
      <c r="AI72" s="73" t="e">
        <f>AVERAGEIF($E$5:$E$30,$E72,AI$5:AI$30)</f>
        <v>#DIV/0!</v>
      </c>
      <c r="AJ72" s="73" t="e">
        <f>AVERAGEIF($E$5:$E$30,$E72,AJ$5:AJ$30)</f>
        <v>#DIV/0!</v>
      </c>
      <c r="AK72" s="73" t="e">
        <f>AVERAGEIF($E$5:$E$30,$E72,AK$5:AK$30)</f>
        <v>#DIV/0!</v>
      </c>
      <c r="AL72" s="73" t="e">
        <f>AVERAGEIF($E$5:$E$30,$E72,AL$5:AL$30)</f>
        <v>#DIV/0!</v>
      </c>
      <c r="AM72" s="73" t="e">
        <f>AVERAGEIF($E$5:$E$30,$E72,AM$5:AM$30)</f>
        <v>#DIV/0!</v>
      </c>
      <c r="AN72" s="73" t="e">
        <f>AVERAGEIF($E$5:$E$30,$E72,AN$5:AN$30)</f>
        <v>#DIV/0!</v>
      </c>
      <c r="AO72" s="73" t="e">
        <f>AVERAGEIF($E$5:$E$30,$E72,AO$5:AO$30)</f>
        <v>#DIV/0!</v>
      </c>
      <c r="AP72" s="73" t="e">
        <f>AVERAGEIF($E$5:$E$30,$E72,AP$5:AP$30)</f>
        <v>#DIV/0!</v>
      </c>
      <c r="AQ72" s="73" t="e">
        <f>AVERAGEIF($E$5:$E$30,$E72,AQ$5:AQ$30)</f>
        <v>#DIV/0!</v>
      </c>
      <c r="AR72" s="73" t="e">
        <f>AVERAGEIF($E$5:$E$30,$E72,AR$5:AR$30)</f>
        <v>#DIV/0!</v>
      </c>
      <c r="AS72" s="73" t="e">
        <f>AVERAGEIF($E$5:$E$30,$E72,AS$5:AS$30)</f>
        <v>#DIV/0!</v>
      </c>
      <c r="AT72" s="73" t="e">
        <f>AVERAGEIF($E$5:$E$30,$E72,AT$5:AT$30)</f>
        <v>#DIV/0!</v>
      </c>
      <c r="AU72" s="73" t="e">
        <f>AVERAGEIF($E$5:$E$30,$E72,AU$5:AU$30)</f>
        <v>#DIV/0!</v>
      </c>
      <c r="AV72" s="73" t="e">
        <f>AVERAGEIF($E$5:$E$30,$E72,AV$5:AV$30)</f>
        <v>#DIV/0!</v>
      </c>
      <c r="AW72" s="73" t="e">
        <f>AVERAGEIF($E$5:$E$30,$E72,AW$5:AW$30)</f>
        <v>#DIV/0!</v>
      </c>
      <c r="AX72" s="73" t="e">
        <f>AVERAGEIF($E$5:$E$30,$E72,AX$5:AX$30)</f>
        <v>#DIV/0!</v>
      </c>
      <c r="AY72" s="73" t="e">
        <f>AVERAGEIF($E$5:$E$30,$E72,AY$5:AY$30)</f>
        <v>#DIV/0!</v>
      </c>
      <c r="AZ72" s="73" t="e">
        <f>AVERAGEIF($E$5:$E$30,$E72,AZ$5:AZ$30)</f>
        <v>#DIV/0!</v>
      </c>
      <c r="BA72" s="73" t="e">
        <f>AVERAGEIF($E$5:$E$30,$E72,BA$5:BA$30)</f>
        <v>#DIV/0!</v>
      </c>
      <c r="BB72" s="73" t="e">
        <f>AVERAGEIF($E$5:$E$30,$E72,BB$5:BB$30)</f>
        <v>#DIV/0!</v>
      </c>
      <c r="BC72" s="76"/>
    </row>
    <row r="73" spans="1:55" ht="14.25" customHeight="1">
      <c r="A73" s="113"/>
      <c r="E73" s="93"/>
      <c r="I73" s="93"/>
      <c r="J73" s="107" t="e">
        <f t="array" ref="J73">_xlfn.STDEV.P(IF($E$5:$E$30=$E72,J$5:J$30))</f>
        <v>#DIV/0!</v>
      </c>
      <c r="K73" s="106" t="s">
        <v>11</v>
      </c>
      <c r="L73" s="81" t="e">
        <f t="array" ref="L73">_xlfn.STDEV.P(IF($E$5:$E$30=$E72,L$5:L$30))</f>
        <v>#DIV/0!</v>
      </c>
      <c r="M73" s="81" t="e">
        <f t="array" ref="M73">_xlfn.STDEV.P(IF($E$5:$E$30=$E72,M$5:M$30))</f>
        <v>#DIV/0!</v>
      </c>
      <c r="N73" s="81" t="e">
        <f t="array" ref="N73">_xlfn.STDEV.P(IF($E$5:$E$30=$E72,N$5:N$30))</f>
        <v>#DIV/0!</v>
      </c>
      <c r="O73" s="81" t="e">
        <f t="array" ref="O73">_xlfn.STDEV.P(IF($E$5:$E$30=$E72,O$5:O$30))</f>
        <v>#DIV/0!</v>
      </c>
      <c r="P73" s="81" t="e">
        <f t="array" ref="P73">_xlfn.STDEV.P(IF($E$5:$E$30=$E72,P$5:P$30))</f>
        <v>#DIV/0!</v>
      </c>
      <c r="Q73" s="81" t="e">
        <f t="array" ref="Q73">_xlfn.STDEV.P(IF($E$5:$E$30=$E72,Q$5:Q$30))</f>
        <v>#DIV/0!</v>
      </c>
      <c r="R73" s="81" t="e">
        <f t="array" ref="R73">_xlfn.STDEV.P(IF($E$5:$E$30=$E72,R$5:R$30))</f>
        <v>#DIV/0!</v>
      </c>
      <c r="S73" s="81" t="e">
        <f t="array" ref="S73">_xlfn.STDEV.P(IF($E$5:$E$30=$E72,S$5:S$30))</f>
        <v>#DIV/0!</v>
      </c>
      <c r="T73" s="81" t="e">
        <f t="array" ref="T73">_xlfn.STDEV.P(IF($E$5:$E$30=$E72,T$5:T$30))</f>
        <v>#DIV/0!</v>
      </c>
      <c r="U73" s="81" t="e">
        <f t="array" ref="U73">_xlfn.STDEV.P(IF($E$5:$E$30=$E72,U$5:U$30))</f>
        <v>#DIV/0!</v>
      </c>
      <c r="V73" s="81" t="e">
        <f t="array" ref="V73">_xlfn.STDEV.P(IF($E$5:$E$30=$E72,V$5:V$30))</f>
        <v>#DIV/0!</v>
      </c>
      <c r="W73" s="81" t="e">
        <f t="array" ref="W73">_xlfn.STDEV.P(IF($E$5:$E$30=$E72,W$5:W$30))</f>
        <v>#DIV/0!</v>
      </c>
      <c r="X73" s="81" t="e">
        <f t="array" ref="X73">_xlfn.STDEV.P(IF($E$5:$E$30=$E72,X$5:X$30))</f>
        <v>#DIV/0!</v>
      </c>
      <c r="Y73" s="81" t="e">
        <f t="array" ref="Y73">_xlfn.STDEV.P(IF($E$5:$E$30=$E72,Y$5:Y$30))</f>
        <v>#DIV/0!</v>
      </c>
      <c r="Z73" s="81" t="e">
        <f t="array" ref="Z73">_xlfn.STDEV.P(IF($E$5:$E$30=$E72,Z$5:Z$30))</f>
        <v>#DIV/0!</v>
      </c>
      <c r="AA73" s="81" t="e">
        <f t="array" ref="AA73">_xlfn.STDEV.P(IF($E$5:$E$30=$E72,AA$5:AA$30))</f>
        <v>#DIV/0!</v>
      </c>
      <c r="AB73" s="81" t="e">
        <f t="array" ref="AB73">_xlfn.STDEV.P(IF($E$5:$E$30=$E72,AB$5:AB$30))</f>
        <v>#DIV/0!</v>
      </c>
      <c r="AC73" s="81" t="e">
        <f t="array" ref="AC73">_xlfn.STDEV.P(IF($E$5:$E$30=$E72,AC$5:AC$30))</f>
        <v>#DIV/0!</v>
      </c>
      <c r="AD73" s="81" t="e">
        <f t="array" ref="AD73">_xlfn.STDEV.P(IF($E$5:$E$30=$E72,AD$5:AD$30))</f>
        <v>#DIV/0!</v>
      </c>
      <c r="AE73" s="81" t="e">
        <f t="array" ref="AE73">_xlfn.STDEV.P(IF($E$5:$E$30=$E72,AE$5:AE$30))</f>
        <v>#DIV/0!</v>
      </c>
      <c r="AF73" s="81" t="e">
        <f t="array" ref="AF73">_xlfn.STDEV.P(IF($E$5:$E$30=$E72,AF$5:AF$30))</f>
        <v>#DIV/0!</v>
      </c>
      <c r="AG73" s="137" t="s">
        <v>11</v>
      </c>
      <c r="AH73" s="74" t="e">
        <f t="array" ref="AH73">_xlfn.STDEV.P(IF($E$5:$E$30=$E72,AH$5:AH$30))</f>
        <v>#DIV/0!</v>
      </c>
      <c r="AI73" s="74" t="e">
        <f t="array" ref="AI73">_xlfn.STDEV.P(IF($E$5:$E$30=$E72,AI$5:AI$30))</f>
        <v>#DIV/0!</v>
      </c>
      <c r="AJ73" s="74" t="e">
        <f t="array" ref="AJ73">_xlfn.STDEV.P(IF($E$5:$E$30=$E72,AJ$5:AJ$30))</f>
        <v>#DIV/0!</v>
      </c>
      <c r="AK73" s="74" t="e">
        <f t="array" ref="AK73">_xlfn.STDEV.P(IF($E$5:$E$30=$E72,AK$5:AK$30))</f>
        <v>#DIV/0!</v>
      </c>
      <c r="AL73" s="74" t="e">
        <f t="array" ref="AL73">_xlfn.STDEV.P(IF($E$5:$E$30=$E72,AL$5:AL$30))</f>
        <v>#DIV/0!</v>
      </c>
      <c r="AM73" s="74" t="e">
        <f t="array" ref="AM73">_xlfn.STDEV.P(IF($E$5:$E$30=$E72,AM$5:AM$30))</f>
        <v>#DIV/0!</v>
      </c>
      <c r="AN73" s="74" t="e">
        <f t="array" ref="AN73">_xlfn.STDEV.P(IF($E$5:$E$30=$E72,AN$5:AN$30))</f>
        <v>#DIV/0!</v>
      </c>
      <c r="AO73" s="74" t="e">
        <f t="array" ref="AO73">_xlfn.STDEV.P(IF($E$5:$E$30=$E72,AO$5:AO$30))</f>
        <v>#DIV/0!</v>
      </c>
      <c r="AP73" s="74" t="e">
        <f t="array" ref="AP73">_xlfn.STDEV.P(IF($E$5:$E$30=$E72,AP$5:AP$30))</f>
        <v>#DIV/0!</v>
      </c>
      <c r="AQ73" s="74" t="e">
        <f t="array" ref="AQ73">_xlfn.STDEV.P(IF($E$5:$E$30=$E72,AQ$5:AQ$30))</f>
        <v>#DIV/0!</v>
      </c>
      <c r="AR73" s="74" t="e">
        <f t="array" ref="AR73">_xlfn.STDEV.P(IF($E$5:$E$30=$E72,AR$5:AR$30))</f>
        <v>#DIV/0!</v>
      </c>
      <c r="AS73" s="74" t="e">
        <f t="array" ref="AS73">_xlfn.STDEV.P(IF($E$5:$E$30=$E72,AS$5:AS$30))</f>
        <v>#DIV/0!</v>
      </c>
      <c r="AT73" s="74" t="e">
        <f t="array" ref="AT73">_xlfn.STDEV.P(IF($E$5:$E$30=$E72,AT$5:AT$30))</f>
        <v>#DIV/0!</v>
      </c>
      <c r="AU73" s="74" t="e">
        <f t="array" ref="AU73">_xlfn.STDEV.P(IF($E$5:$E$30=$E72,AU$5:AU$30))</f>
        <v>#DIV/0!</v>
      </c>
      <c r="AV73" s="74" t="e">
        <f t="array" ref="AV73">_xlfn.STDEV.P(IF($E$5:$E$30=$E72,AV$5:AV$30))</f>
        <v>#DIV/0!</v>
      </c>
      <c r="AW73" s="74" t="e">
        <f t="array" ref="AW73">_xlfn.STDEV.P(IF($E$5:$E$30=$E72,AW$5:AW$30))</f>
        <v>#DIV/0!</v>
      </c>
      <c r="AX73" s="74" t="e">
        <f t="array" ref="AX73">_xlfn.STDEV.P(IF($E$5:$E$30=$E72,AX$5:AX$30))</f>
        <v>#DIV/0!</v>
      </c>
      <c r="AY73" s="74" t="e">
        <f t="array" ref="AY73">_xlfn.STDEV.P(IF($E$5:$E$30=$E72,AY$5:AY$30))</f>
        <v>#DIV/0!</v>
      </c>
      <c r="AZ73" s="74" t="e">
        <f t="array" ref="AZ73">_xlfn.STDEV.P(IF($E$5:$E$30=$E72,AZ$5:AZ$30))</f>
        <v>#DIV/0!</v>
      </c>
      <c r="BA73" s="74" t="e">
        <f t="array" ref="BA73">_xlfn.STDEV.P(IF($E$5:$E$30=$E72,BA$5:BA$30))</f>
        <v>#DIV/0!</v>
      </c>
      <c r="BB73" s="74" t="e">
        <f t="array" ref="BB73">_xlfn.STDEV.P(IF($E$5:$E$30=$E72,BB$5:BB$30))</f>
        <v>#DIV/0!</v>
      </c>
      <c r="BC73" s="76"/>
    </row>
    <row r="74" spans="1:55" ht="14.25" customHeight="1">
      <c r="A74" s="113"/>
      <c r="E74" s="93"/>
      <c r="I74" s="93"/>
      <c r="J74" s="107"/>
      <c r="K74" s="131" t="s">
        <v>34</v>
      </c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131" t="s">
        <v>34</v>
      </c>
      <c r="AH74" s="73" t="e">
        <f>AH72-AH$32</f>
        <v>#DIV/0!</v>
      </c>
      <c r="AI74" s="73" t="e">
        <f>AI72-AI$32</f>
        <v>#DIV/0!</v>
      </c>
      <c r="AJ74" s="73" t="e">
        <f t="shared" ref="AJ74:AX74" si="67">AJ72-AJ$32</f>
        <v>#DIV/0!</v>
      </c>
      <c r="AK74" s="73" t="e">
        <f t="shared" si="67"/>
        <v>#DIV/0!</v>
      </c>
      <c r="AL74" s="73" t="e">
        <f t="shared" si="67"/>
        <v>#DIV/0!</v>
      </c>
      <c r="AM74" s="73" t="e">
        <f t="shared" si="67"/>
        <v>#DIV/0!</v>
      </c>
      <c r="AN74" s="73" t="e">
        <f t="shared" si="67"/>
        <v>#DIV/0!</v>
      </c>
      <c r="AO74" s="73" t="e">
        <f t="shared" si="67"/>
        <v>#DIV/0!</v>
      </c>
      <c r="AP74" s="73" t="e">
        <f t="shared" si="67"/>
        <v>#DIV/0!</v>
      </c>
      <c r="AQ74" s="73" t="e">
        <f t="shared" si="67"/>
        <v>#DIV/0!</v>
      </c>
      <c r="AR74" s="73" t="e">
        <f t="shared" si="67"/>
        <v>#DIV/0!</v>
      </c>
      <c r="AS74" s="73" t="e">
        <f t="shared" si="67"/>
        <v>#DIV/0!</v>
      </c>
      <c r="AT74" s="73" t="e">
        <f t="shared" si="67"/>
        <v>#DIV/0!</v>
      </c>
      <c r="AU74" s="73" t="e">
        <f t="shared" si="67"/>
        <v>#DIV/0!</v>
      </c>
      <c r="AV74" s="73" t="e">
        <f t="shared" si="67"/>
        <v>#DIV/0!</v>
      </c>
      <c r="AW74" s="73" t="e">
        <f t="shared" si="67"/>
        <v>#DIV/0!</v>
      </c>
      <c r="AX74" s="73" t="e">
        <f t="shared" si="67"/>
        <v>#DIV/0!</v>
      </c>
      <c r="AY74" s="73" t="e">
        <f>AY72-AY$32</f>
        <v>#DIV/0!</v>
      </c>
      <c r="AZ74" s="73" t="e">
        <f>AZ72-AZ$32</f>
        <v>#DIV/0!</v>
      </c>
      <c r="BA74" s="73" t="e">
        <f>BA72-BA$32</f>
        <v>#DIV/0!</v>
      </c>
      <c r="BB74" s="73" t="e">
        <f>BB72-BB$32</f>
        <v>#DIV/0!</v>
      </c>
      <c r="BC74" s="130"/>
    </row>
    <row r="75" spans="1:55" ht="14.25" customHeight="1">
      <c r="A75" s="113"/>
      <c r="E75" s="93"/>
      <c r="I75" s="93"/>
      <c r="J75" s="107"/>
      <c r="K75" s="105" t="s">
        <v>48</v>
      </c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105" t="s">
        <v>48</v>
      </c>
      <c r="AH75" s="73"/>
      <c r="AI75" s="73" t="e">
        <f>AH72*EXP((AI$4-AH$4)*-LN(2)/8.091)</f>
        <v>#DIV/0!</v>
      </c>
      <c r="AJ75" s="73" t="e">
        <f>AI72*EXP((AJ$4-AI$4)*-LN(2)/8.091)</f>
        <v>#DIV/0!</v>
      </c>
      <c r="AK75" s="73" t="e">
        <f t="shared" ref="AK75:AX75" si="68">AJ72*EXP((AK$4-AJ$4)*-LN(2)/8.091)</f>
        <v>#DIV/0!</v>
      </c>
      <c r="AL75" s="73" t="e">
        <f t="shared" si="68"/>
        <v>#DIV/0!</v>
      </c>
      <c r="AM75" s="73" t="e">
        <f t="shared" si="68"/>
        <v>#DIV/0!</v>
      </c>
      <c r="AN75" s="73" t="e">
        <f t="shared" si="68"/>
        <v>#DIV/0!</v>
      </c>
      <c r="AO75" s="73" t="e">
        <f t="shared" si="68"/>
        <v>#DIV/0!</v>
      </c>
      <c r="AP75" s="73" t="e">
        <f t="shared" si="68"/>
        <v>#DIV/0!</v>
      </c>
      <c r="AQ75" s="73" t="e">
        <f t="shared" si="68"/>
        <v>#DIV/0!</v>
      </c>
      <c r="AR75" s="73" t="e">
        <f t="shared" si="68"/>
        <v>#DIV/0!</v>
      </c>
      <c r="AS75" s="73" t="e">
        <f t="shared" si="68"/>
        <v>#DIV/0!</v>
      </c>
      <c r="AT75" s="73" t="e">
        <f t="shared" si="68"/>
        <v>#DIV/0!</v>
      </c>
      <c r="AU75" s="73" t="e">
        <f t="shared" si="68"/>
        <v>#DIV/0!</v>
      </c>
      <c r="AV75" s="73" t="e">
        <f t="shared" si="68"/>
        <v>#DIV/0!</v>
      </c>
      <c r="AW75" s="73" t="e">
        <f t="shared" si="68"/>
        <v>#DIV/0!</v>
      </c>
      <c r="AX75" s="73" t="e">
        <f t="shared" si="68"/>
        <v>#DIV/0!</v>
      </c>
      <c r="AY75" s="73" t="e">
        <f>AX72*EXP((AY$4-AX$4)*-LN(2)/8.091)</f>
        <v>#DIV/0!</v>
      </c>
      <c r="AZ75" s="73" t="e">
        <f>AY72*EXP((AZ$4-AY$4)*-LN(2)/8.091)</f>
        <v>#DIV/0!</v>
      </c>
      <c r="BA75" s="73" t="e">
        <f>AZ72*EXP((BA$4-AZ$4)*-LN(2)/8.091)</f>
        <v>#DIV/0!</v>
      </c>
      <c r="BB75" s="73" t="e">
        <f>BA72*EXP((BB$4-BA$4)*-LN(2)/8.091)</f>
        <v>#DIV/0!</v>
      </c>
      <c r="BC75" s="130"/>
    </row>
    <row r="76" spans="1:55" ht="14.25" customHeight="1">
      <c r="A76" s="113"/>
      <c r="E76" s="93"/>
      <c r="I76" s="93"/>
      <c r="J76" s="107"/>
      <c r="K76" s="105" t="s">
        <v>35</v>
      </c>
      <c r="L76" s="80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105" t="s">
        <v>35</v>
      </c>
      <c r="AH76" s="147"/>
      <c r="AI76" s="74" t="e">
        <f t="shared" ref="AI76:BB76" si="69">AI72-AI75</f>
        <v>#DIV/0!</v>
      </c>
      <c r="AJ76" s="74" t="e">
        <f t="shared" si="69"/>
        <v>#DIV/0!</v>
      </c>
      <c r="AK76" s="74" t="e">
        <f t="shared" si="69"/>
        <v>#DIV/0!</v>
      </c>
      <c r="AL76" s="74" t="e">
        <f t="shared" si="69"/>
        <v>#DIV/0!</v>
      </c>
      <c r="AM76" s="74" t="e">
        <f t="shared" si="69"/>
        <v>#DIV/0!</v>
      </c>
      <c r="AN76" s="74" t="e">
        <f t="shared" si="69"/>
        <v>#DIV/0!</v>
      </c>
      <c r="AO76" s="74" t="e">
        <f t="shared" si="69"/>
        <v>#DIV/0!</v>
      </c>
      <c r="AP76" s="74" t="e">
        <f t="shared" si="69"/>
        <v>#DIV/0!</v>
      </c>
      <c r="AQ76" s="74" t="e">
        <f t="shared" si="69"/>
        <v>#DIV/0!</v>
      </c>
      <c r="AR76" s="74" t="e">
        <f t="shared" si="69"/>
        <v>#DIV/0!</v>
      </c>
      <c r="AS76" s="74" t="e">
        <f t="shared" si="69"/>
        <v>#DIV/0!</v>
      </c>
      <c r="AT76" s="74" t="e">
        <f t="shared" si="69"/>
        <v>#DIV/0!</v>
      </c>
      <c r="AU76" s="74" t="e">
        <f t="shared" si="69"/>
        <v>#DIV/0!</v>
      </c>
      <c r="AV76" s="74" t="e">
        <f t="shared" si="69"/>
        <v>#DIV/0!</v>
      </c>
      <c r="AW76" s="74" t="e">
        <f t="shared" si="69"/>
        <v>#DIV/0!</v>
      </c>
      <c r="AX76" s="74" t="e">
        <f t="shared" si="69"/>
        <v>#DIV/0!</v>
      </c>
      <c r="AY76" s="74" t="e">
        <f t="shared" si="69"/>
        <v>#DIV/0!</v>
      </c>
      <c r="AZ76" s="74" t="e">
        <f t="shared" si="69"/>
        <v>#DIV/0!</v>
      </c>
      <c r="BA76" s="74" t="e">
        <f t="shared" si="69"/>
        <v>#DIV/0!</v>
      </c>
      <c r="BB76" s="74" t="e">
        <f t="shared" si="69"/>
        <v>#DIV/0!</v>
      </c>
      <c r="BC76" s="130"/>
    </row>
    <row r="77" spans="1:55" ht="14.25" customHeight="1">
      <c r="A77" s="113"/>
      <c r="E77" s="93"/>
      <c r="I77" s="93"/>
      <c r="J77" s="107"/>
      <c r="K77" s="105" t="s">
        <v>49</v>
      </c>
      <c r="L77" s="80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105" t="s">
        <v>49</v>
      </c>
      <c r="AH77" s="147" t="e">
        <f>AH72/AH$32</f>
        <v>#DIV/0!</v>
      </c>
      <c r="AI77" s="74" t="e">
        <f>AI72/AI$32</f>
        <v>#DIV/0!</v>
      </c>
      <c r="AJ77" s="74" t="e">
        <f>AJ72/AJ$32</f>
        <v>#DIV/0!</v>
      </c>
      <c r="AK77" s="74" t="e">
        <f t="shared" ref="AK77:AX77" si="70">AK72/AK$32</f>
        <v>#DIV/0!</v>
      </c>
      <c r="AL77" s="74" t="e">
        <f t="shared" si="70"/>
        <v>#DIV/0!</v>
      </c>
      <c r="AM77" s="74" t="e">
        <f t="shared" si="70"/>
        <v>#DIV/0!</v>
      </c>
      <c r="AN77" s="74" t="e">
        <f t="shared" si="70"/>
        <v>#DIV/0!</v>
      </c>
      <c r="AO77" s="74" t="e">
        <f t="shared" si="70"/>
        <v>#DIV/0!</v>
      </c>
      <c r="AP77" s="74" t="e">
        <f t="shared" si="70"/>
        <v>#DIV/0!</v>
      </c>
      <c r="AQ77" s="74" t="e">
        <f t="shared" si="70"/>
        <v>#DIV/0!</v>
      </c>
      <c r="AR77" s="74" t="e">
        <f t="shared" si="70"/>
        <v>#DIV/0!</v>
      </c>
      <c r="AS77" s="74" t="e">
        <f t="shared" si="70"/>
        <v>#DIV/0!</v>
      </c>
      <c r="AT77" s="74" t="e">
        <f t="shared" si="70"/>
        <v>#DIV/0!</v>
      </c>
      <c r="AU77" s="74" t="e">
        <f t="shared" si="70"/>
        <v>#DIV/0!</v>
      </c>
      <c r="AV77" s="74" t="e">
        <f t="shared" si="70"/>
        <v>#DIV/0!</v>
      </c>
      <c r="AW77" s="74" t="e">
        <f t="shared" si="70"/>
        <v>#DIV/0!</v>
      </c>
      <c r="AX77" s="74" t="e">
        <f t="shared" si="70"/>
        <v>#DIV/0!</v>
      </c>
      <c r="AY77" s="74" t="e">
        <f>AY72/AY$32</f>
        <v>#DIV/0!</v>
      </c>
      <c r="AZ77" s="74" t="e">
        <f>AZ72/AZ$32</f>
        <v>#DIV/0!</v>
      </c>
      <c r="BA77" s="74" t="e">
        <f>BA72/BA$32</f>
        <v>#DIV/0!</v>
      </c>
      <c r="BB77" s="74" t="e">
        <f>BB72/BB$32</f>
        <v>#DIV/0!</v>
      </c>
      <c r="BC77" s="130"/>
    </row>
    <row r="78" spans="1:55" ht="15">
      <c r="A78" s="113"/>
      <c r="E78" s="52"/>
      <c r="I78" s="52"/>
      <c r="K78" s="133"/>
      <c r="AG78" s="132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148"/>
    </row>
    <row r="79" spans="1:55" ht="14.25" customHeight="1">
      <c r="A79" s="113"/>
      <c r="E79" s="118" t="str">
        <f>'FIG6 Groups'!C12</f>
        <v>Group 7</v>
      </c>
      <c r="I79" s="118" t="str">
        <f>E79</f>
        <v>Group 7</v>
      </c>
      <c r="J79" s="107" t="e">
        <f>AVERAGEIF($E$5:$E$30,$E79,J$5:J$30)</f>
        <v>#DIV/0!</v>
      </c>
      <c r="K79" s="106" t="s">
        <v>9</v>
      </c>
      <c r="L79" s="78" t="e">
        <f>AVERAGEIF($E$5:$E$30,$E79,L$5:L$30)</f>
        <v>#DIV/0!</v>
      </c>
      <c r="M79" s="78" t="e">
        <f>AVERAGEIF($E$5:$E$30,$E79,M$5:M$30)</f>
        <v>#DIV/0!</v>
      </c>
      <c r="N79" s="78" t="e">
        <f>AVERAGEIF($E$5:$E$30,$E79,N$5:N$30)</f>
        <v>#DIV/0!</v>
      </c>
      <c r="O79" s="78" t="e">
        <f>AVERAGEIF($E$5:$E$30,$E79,O$5:O$30)</f>
        <v>#DIV/0!</v>
      </c>
      <c r="P79" s="78" t="e">
        <f>AVERAGEIF($E$5:$E$30,$E79,P$5:P$30)</f>
        <v>#DIV/0!</v>
      </c>
      <c r="Q79" s="78" t="e">
        <f>AVERAGEIF($E$5:$E$30,$E79,Q$5:Q$30)</f>
        <v>#DIV/0!</v>
      </c>
      <c r="R79" s="78" t="e">
        <f>AVERAGEIF($E$5:$E$30,$E79,R$5:R$30)</f>
        <v>#DIV/0!</v>
      </c>
      <c r="S79" s="78" t="e">
        <f>AVERAGEIF($E$5:$E$30,$E79,S$5:S$30)</f>
        <v>#DIV/0!</v>
      </c>
      <c r="T79" s="78" t="e">
        <f>AVERAGEIF($E$5:$E$30,$E79,T$5:T$30)</f>
        <v>#DIV/0!</v>
      </c>
      <c r="U79" s="78" t="e">
        <f>AVERAGEIF($E$5:$E$30,$E79,U$5:U$30)</f>
        <v>#DIV/0!</v>
      </c>
      <c r="V79" s="78" t="e">
        <f>AVERAGEIF($E$5:$E$30,$E79,V$5:V$30)</f>
        <v>#DIV/0!</v>
      </c>
      <c r="W79" s="78" t="e">
        <f>AVERAGEIF($E$5:$E$30,$E79,W$5:W$30)</f>
        <v>#DIV/0!</v>
      </c>
      <c r="X79" s="78" t="e">
        <f>AVERAGEIF($E$5:$E$30,$E79,X$5:X$30)</f>
        <v>#DIV/0!</v>
      </c>
      <c r="Y79" s="78" t="e">
        <f>AVERAGEIF($E$5:$E$30,$E79,Y$5:Y$30)</f>
        <v>#DIV/0!</v>
      </c>
      <c r="Z79" s="78" t="e">
        <f>AVERAGEIF($E$5:$E$30,$E79,Z$5:Z$30)</f>
        <v>#DIV/0!</v>
      </c>
      <c r="AA79" s="78" t="e">
        <f>AVERAGEIF($E$5:$E$30,$E79,AA$5:AA$30)</f>
        <v>#DIV/0!</v>
      </c>
      <c r="AB79" s="78" t="e">
        <f>AVERAGEIF($E$5:$E$30,$E79,AB$5:AB$30)</f>
        <v>#DIV/0!</v>
      </c>
      <c r="AC79" s="78" t="e">
        <f>AVERAGEIF($E$5:$E$30,$E79,AC$5:AC$30)</f>
        <v>#DIV/0!</v>
      </c>
      <c r="AD79" s="78" t="e">
        <f>AVERAGEIF($E$5:$E$30,$E79,AD$5:AD$30)</f>
        <v>#DIV/0!</v>
      </c>
      <c r="AE79" s="78" t="e">
        <f>AVERAGEIF($E$5:$E$30,$E79,AE$5:AE$30)</f>
        <v>#DIV/0!</v>
      </c>
      <c r="AF79" s="78" t="e">
        <f>AVERAGEIF($E$5:$E$30,$E79,AF$5:AF$30)</f>
        <v>#DIV/0!</v>
      </c>
      <c r="AG79" s="136" t="s">
        <v>9</v>
      </c>
      <c r="AH79" s="73" t="e">
        <f>AVERAGEIF($E$5:$E$30,$E79,AH$5:AH$30)</f>
        <v>#DIV/0!</v>
      </c>
      <c r="AI79" s="73" t="e">
        <f>AVERAGEIF($E$5:$E$30,$E79,AI$5:AI$30)</f>
        <v>#DIV/0!</v>
      </c>
      <c r="AJ79" s="73" t="e">
        <f>AVERAGEIF($E$5:$E$30,$E79,AJ$5:AJ$30)</f>
        <v>#DIV/0!</v>
      </c>
      <c r="AK79" s="73" t="e">
        <f>AVERAGEIF($E$5:$E$30,$E79,AK$5:AK$30)</f>
        <v>#DIV/0!</v>
      </c>
      <c r="AL79" s="73" t="e">
        <f>AVERAGEIF($E$5:$E$30,$E79,AL$5:AL$30)</f>
        <v>#DIV/0!</v>
      </c>
      <c r="AM79" s="73" t="e">
        <f>AVERAGEIF($E$5:$E$30,$E79,AM$5:AM$30)</f>
        <v>#DIV/0!</v>
      </c>
      <c r="AN79" s="73" t="e">
        <f>AVERAGEIF($E$5:$E$30,$E79,AN$5:AN$30)</f>
        <v>#DIV/0!</v>
      </c>
      <c r="AO79" s="73" t="e">
        <f>AVERAGEIF($E$5:$E$30,$E79,AO$5:AO$30)</f>
        <v>#DIV/0!</v>
      </c>
      <c r="AP79" s="73" t="e">
        <f>AVERAGEIF($E$5:$E$30,$E79,AP$5:AP$30)</f>
        <v>#DIV/0!</v>
      </c>
      <c r="AQ79" s="73" t="e">
        <f>AVERAGEIF($E$5:$E$30,$E79,AQ$5:AQ$30)</f>
        <v>#DIV/0!</v>
      </c>
      <c r="AR79" s="73" t="e">
        <f>AVERAGEIF($E$5:$E$30,$E79,AR$5:AR$30)</f>
        <v>#DIV/0!</v>
      </c>
      <c r="AS79" s="73" t="e">
        <f>AVERAGEIF($E$5:$E$30,$E79,AS$5:AS$30)</f>
        <v>#DIV/0!</v>
      </c>
      <c r="AT79" s="73" t="e">
        <f>AVERAGEIF($E$5:$E$30,$E79,AT$5:AT$30)</f>
        <v>#DIV/0!</v>
      </c>
      <c r="AU79" s="73" t="e">
        <f>AVERAGEIF($E$5:$E$30,$E79,AU$5:AU$30)</f>
        <v>#DIV/0!</v>
      </c>
      <c r="AV79" s="73" t="e">
        <f>AVERAGEIF($E$5:$E$30,$E79,AV$5:AV$30)</f>
        <v>#DIV/0!</v>
      </c>
      <c r="AW79" s="73" t="e">
        <f>AVERAGEIF($E$5:$E$30,$E79,AW$5:AW$30)</f>
        <v>#DIV/0!</v>
      </c>
      <c r="AX79" s="73" t="e">
        <f>AVERAGEIF($E$5:$E$30,$E79,AX$5:AX$30)</f>
        <v>#DIV/0!</v>
      </c>
      <c r="AY79" s="73" t="e">
        <f>AVERAGEIF($E$5:$E$30,$E79,AY$5:AY$30)</f>
        <v>#DIV/0!</v>
      </c>
      <c r="AZ79" s="73" t="e">
        <f>AVERAGEIF($E$5:$E$30,$E79,AZ$5:AZ$30)</f>
        <v>#DIV/0!</v>
      </c>
      <c r="BA79" s="73" t="e">
        <f>AVERAGEIF($E$5:$E$30,$E79,BA$5:BA$30)</f>
        <v>#DIV/0!</v>
      </c>
      <c r="BB79" s="73" t="e">
        <f>AVERAGEIF($E$5:$E$30,$E79,BB$5:BB$30)</f>
        <v>#DIV/0!</v>
      </c>
      <c r="BC79" s="76"/>
    </row>
    <row r="80" spans="1:55" ht="14.25" customHeight="1">
      <c r="A80" s="113"/>
      <c r="E80" s="93"/>
      <c r="I80" s="93"/>
      <c r="J80" s="107" t="e">
        <f t="array" ref="J80">_xlfn.STDEV.P(IF($E$5:$E$30=$E79,J$5:J$30))</f>
        <v>#DIV/0!</v>
      </c>
      <c r="K80" s="106" t="s">
        <v>11</v>
      </c>
      <c r="L80" s="81" t="e">
        <f t="array" ref="L80">_xlfn.STDEV.P(IF($E$5:$E$30=$E79,L$5:L$30))</f>
        <v>#DIV/0!</v>
      </c>
      <c r="M80" s="81" t="e">
        <f t="array" ref="M80">_xlfn.STDEV.P(IF($E$5:$E$30=$E79,M$5:M$30))</f>
        <v>#DIV/0!</v>
      </c>
      <c r="N80" s="81" t="e">
        <f t="array" ref="N80">_xlfn.STDEV.P(IF($E$5:$E$30=$E79,N$5:N$30))</f>
        <v>#DIV/0!</v>
      </c>
      <c r="O80" s="81" t="e">
        <f t="array" ref="O80">_xlfn.STDEV.P(IF($E$5:$E$30=$E79,O$5:O$30))</f>
        <v>#DIV/0!</v>
      </c>
      <c r="P80" s="81" t="e">
        <f t="array" ref="P80">_xlfn.STDEV.P(IF($E$5:$E$30=$E79,P$5:P$30))</f>
        <v>#DIV/0!</v>
      </c>
      <c r="Q80" s="81" t="e">
        <f t="array" ref="Q80">_xlfn.STDEV.P(IF($E$5:$E$30=$E79,Q$5:Q$30))</f>
        <v>#DIV/0!</v>
      </c>
      <c r="R80" s="81" t="e">
        <f t="array" ref="R80">_xlfn.STDEV.P(IF($E$5:$E$30=$E79,R$5:R$30))</f>
        <v>#DIV/0!</v>
      </c>
      <c r="S80" s="81" t="e">
        <f t="array" ref="S80">_xlfn.STDEV.P(IF($E$5:$E$30=$E79,S$5:S$30))</f>
        <v>#DIV/0!</v>
      </c>
      <c r="T80" s="81" t="e">
        <f t="array" ref="T80">_xlfn.STDEV.P(IF($E$5:$E$30=$E79,T$5:T$30))</f>
        <v>#DIV/0!</v>
      </c>
      <c r="U80" s="81" t="e">
        <f t="array" ref="U80">_xlfn.STDEV.P(IF($E$5:$E$30=$E79,U$5:U$30))</f>
        <v>#DIV/0!</v>
      </c>
      <c r="V80" s="81" t="e">
        <f t="array" ref="V80">_xlfn.STDEV.P(IF($E$5:$E$30=$E79,V$5:V$30))</f>
        <v>#DIV/0!</v>
      </c>
      <c r="W80" s="81" t="e">
        <f t="array" ref="W80">_xlfn.STDEV.P(IF($E$5:$E$30=$E79,W$5:W$30))</f>
        <v>#DIV/0!</v>
      </c>
      <c r="X80" s="81" t="e">
        <f t="array" ref="X80">_xlfn.STDEV.P(IF($E$5:$E$30=$E79,X$5:X$30))</f>
        <v>#DIV/0!</v>
      </c>
      <c r="Y80" s="81" t="e">
        <f t="array" ref="Y80">_xlfn.STDEV.P(IF($E$5:$E$30=$E79,Y$5:Y$30))</f>
        <v>#DIV/0!</v>
      </c>
      <c r="Z80" s="81" t="e">
        <f t="array" ref="Z80">_xlfn.STDEV.P(IF($E$5:$E$30=$E79,Z$5:Z$30))</f>
        <v>#DIV/0!</v>
      </c>
      <c r="AA80" s="81" t="e">
        <f t="array" ref="AA80">_xlfn.STDEV.P(IF($E$5:$E$30=$E79,AA$5:AA$30))</f>
        <v>#DIV/0!</v>
      </c>
      <c r="AB80" s="81" t="e">
        <f t="array" ref="AB80">_xlfn.STDEV.P(IF($E$5:$E$30=$E79,AB$5:AB$30))</f>
        <v>#DIV/0!</v>
      </c>
      <c r="AC80" s="81" t="e">
        <f t="array" ref="AC80">_xlfn.STDEV.P(IF($E$5:$E$30=$E79,AC$5:AC$30))</f>
        <v>#DIV/0!</v>
      </c>
      <c r="AD80" s="81" t="e">
        <f t="array" ref="AD80">_xlfn.STDEV.P(IF($E$5:$E$30=$E79,AD$5:AD$30))</f>
        <v>#DIV/0!</v>
      </c>
      <c r="AE80" s="81" t="e">
        <f t="array" ref="AE80">_xlfn.STDEV.P(IF($E$5:$E$30=$E79,AE$5:AE$30))</f>
        <v>#DIV/0!</v>
      </c>
      <c r="AF80" s="81" t="e">
        <f t="array" ref="AF80">_xlfn.STDEV.P(IF($E$5:$E$30=$E79,AF$5:AF$30))</f>
        <v>#DIV/0!</v>
      </c>
      <c r="AG80" s="137" t="s">
        <v>11</v>
      </c>
      <c r="AH80" s="74" t="e">
        <f t="array" ref="AH80">_xlfn.STDEV.P(IF($E$5:$E$30=$E79,AH$5:AH$30))</f>
        <v>#DIV/0!</v>
      </c>
      <c r="AI80" s="74" t="e">
        <f t="array" ref="AI80">_xlfn.STDEV.P(IF($E$5:$E$30=$E79,AI$5:AI$30))</f>
        <v>#DIV/0!</v>
      </c>
      <c r="AJ80" s="74" t="e">
        <f t="array" ref="AJ80">_xlfn.STDEV.P(IF($E$5:$E$30=$E79,AJ$5:AJ$30))</f>
        <v>#DIV/0!</v>
      </c>
      <c r="AK80" s="74" t="e">
        <f t="array" ref="AK80">_xlfn.STDEV.P(IF($E$5:$E$30=$E79,AK$5:AK$30))</f>
        <v>#DIV/0!</v>
      </c>
      <c r="AL80" s="74" t="e">
        <f t="array" ref="AL80">_xlfn.STDEV.P(IF($E$5:$E$30=$E79,AL$5:AL$30))</f>
        <v>#DIV/0!</v>
      </c>
      <c r="AM80" s="74" t="e">
        <f t="array" ref="AM80">_xlfn.STDEV.P(IF($E$5:$E$30=$E79,AM$5:AM$30))</f>
        <v>#DIV/0!</v>
      </c>
      <c r="AN80" s="74" t="e">
        <f t="array" ref="AN80">_xlfn.STDEV.P(IF($E$5:$E$30=$E79,AN$5:AN$30))</f>
        <v>#DIV/0!</v>
      </c>
      <c r="AO80" s="74" t="e">
        <f t="array" ref="AO80">_xlfn.STDEV.P(IF($E$5:$E$30=$E79,AO$5:AO$30))</f>
        <v>#DIV/0!</v>
      </c>
      <c r="AP80" s="74" t="e">
        <f t="array" ref="AP80">_xlfn.STDEV.P(IF($E$5:$E$30=$E79,AP$5:AP$30))</f>
        <v>#DIV/0!</v>
      </c>
      <c r="AQ80" s="74" t="e">
        <f t="array" ref="AQ80">_xlfn.STDEV.P(IF($E$5:$E$30=$E79,AQ$5:AQ$30))</f>
        <v>#DIV/0!</v>
      </c>
      <c r="AR80" s="74" t="e">
        <f t="array" ref="AR80">_xlfn.STDEV.P(IF($E$5:$E$30=$E79,AR$5:AR$30))</f>
        <v>#DIV/0!</v>
      </c>
      <c r="AS80" s="74" t="e">
        <f t="array" ref="AS80">_xlfn.STDEV.P(IF($E$5:$E$30=$E79,AS$5:AS$30))</f>
        <v>#DIV/0!</v>
      </c>
      <c r="AT80" s="74" t="e">
        <f t="array" ref="AT80">_xlfn.STDEV.P(IF($E$5:$E$30=$E79,AT$5:AT$30))</f>
        <v>#DIV/0!</v>
      </c>
      <c r="AU80" s="74" t="e">
        <f t="array" ref="AU80">_xlfn.STDEV.P(IF($E$5:$E$30=$E79,AU$5:AU$30))</f>
        <v>#DIV/0!</v>
      </c>
      <c r="AV80" s="74" t="e">
        <f t="array" ref="AV80">_xlfn.STDEV.P(IF($E$5:$E$30=$E79,AV$5:AV$30))</f>
        <v>#DIV/0!</v>
      </c>
      <c r="AW80" s="74" t="e">
        <f t="array" ref="AW80">_xlfn.STDEV.P(IF($E$5:$E$30=$E79,AW$5:AW$30))</f>
        <v>#DIV/0!</v>
      </c>
      <c r="AX80" s="74" t="e">
        <f t="array" ref="AX80">_xlfn.STDEV.P(IF($E$5:$E$30=$E79,AX$5:AX$30))</f>
        <v>#DIV/0!</v>
      </c>
      <c r="AY80" s="74" t="e">
        <f t="array" ref="AY80">_xlfn.STDEV.P(IF($E$5:$E$30=$E79,AY$5:AY$30))</f>
        <v>#DIV/0!</v>
      </c>
      <c r="AZ80" s="74" t="e">
        <f t="array" ref="AZ80">_xlfn.STDEV.P(IF($E$5:$E$30=$E79,AZ$5:AZ$30))</f>
        <v>#DIV/0!</v>
      </c>
      <c r="BA80" s="74" t="e">
        <f t="array" ref="BA80">_xlfn.STDEV.P(IF($E$5:$E$30=$E79,BA$5:BA$30))</f>
        <v>#DIV/0!</v>
      </c>
      <c r="BB80" s="74" t="e">
        <f t="array" ref="BB80">_xlfn.STDEV.P(IF($E$5:$E$30=$E79,BB$5:BB$30))</f>
        <v>#DIV/0!</v>
      </c>
      <c r="BC80" s="76"/>
    </row>
    <row r="81" spans="1:55" ht="14.25" customHeight="1">
      <c r="A81" s="113"/>
      <c r="E81" s="93"/>
      <c r="I81" s="93"/>
      <c r="J81" s="107"/>
      <c r="K81" s="131" t="s">
        <v>34</v>
      </c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131" t="s">
        <v>34</v>
      </c>
      <c r="AH81" s="73" t="e">
        <f>AH79-AH$32</f>
        <v>#DIV/0!</v>
      </c>
      <c r="AI81" s="73" t="e">
        <f>AI79-AI$32</f>
        <v>#DIV/0!</v>
      </c>
      <c r="AJ81" s="73" t="e">
        <f t="shared" ref="AJ81:AX81" si="71">AJ79-AJ$32</f>
        <v>#DIV/0!</v>
      </c>
      <c r="AK81" s="73" t="e">
        <f t="shared" si="71"/>
        <v>#DIV/0!</v>
      </c>
      <c r="AL81" s="73" t="e">
        <f t="shared" si="71"/>
        <v>#DIV/0!</v>
      </c>
      <c r="AM81" s="73" t="e">
        <f t="shared" si="71"/>
        <v>#DIV/0!</v>
      </c>
      <c r="AN81" s="73" t="e">
        <f t="shared" si="71"/>
        <v>#DIV/0!</v>
      </c>
      <c r="AO81" s="73" t="e">
        <f t="shared" si="71"/>
        <v>#DIV/0!</v>
      </c>
      <c r="AP81" s="73" t="e">
        <f t="shared" si="71"/>
        <v>#DIV/0!</v>
      </c>
      <c r="AQ81" s="73" t="e">
        <f t="shared" si="71"/>
        <v>#DIV/0!</v>
      </c>
      <c r="AR81" s="73" t="e">
        <f t="shared" si="71"/>
        <v>#DIV/0!</v>
      </c>
      <c r="AS81" s="73" t="e">
        <f t="shared" si="71"/>
        <v>#DIV/0!</v>
      </c>
      <c r="AT81" s="73" t="e">
        <f t="shared" si="71"/>
        <v>#DIV/0!</v>
      </c>
      <c r="AU81" s="73" t="e">
        <f t="shared" si="71"/>
        <v>#DIV/0!</v>
      </c>
      <c r="AV81" s="73" t="e">
        <f t="shared" si="71"/>
        <v>#DIV/0!</v>
      </c>
      <c r="AW81" s="73" t="e">
        <f t="shared" si="71"/>
        <v>#DIV/0!</v>
      </c>
      <c r="AX81" s="73" t="e">
        <f t="shared" si="71"/>
        <v>#DIV/0!</v>
      </c>
      <c r="AY81" s="73" t="e">
        <f>AY79-AY$32</f>
        <v>#DIV/0!</v>
      </c>
      <c r="AZ81" s="73" t="e">
        <f>AZ79-AZ$32</f>
        <v>#DIV/0!</v>
      </c>
      <c r="BA81" s="73" t="e">
        <f>BA79-BA$32</f>
        <v>#DIV/0!</v>
      </c>
      <c r="BB81" s="73" t="e">
        <f>BB79-BB$32</f>
        <v>#DIV/0!</v>
      </c>
      <c r="BC81" s="130"/>
    </row>
    <row r="82" spans="1:55" ht="14.25" customHeight="1">
      <c r="A82" s="113"/>
      <c r="E82" s="93"/>
      <c r="I82" s="93"/>
      <c r="J82" s="107"/>
      <c r="K82" s="105" t="s">
        <v>48</v>
      </c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105" t="s">
        <v>48</v>
      </c>
      <c r="AH82" s="73"/>
      <c r="AI82" s="73" t="e">
        <f>AH79*EXP((AI$4-AH$4)*-LN(2)/8.091)</f>
        <v>#DIV/0!</v>
      </c>
      <c r="AJ82" s="73" t="e">
        <f>AI79*EXP((AJ$4-AI$4)*-LN(2)/8.091)</f>
        <v>#DIV/0!</v>
      </c>
      <c r="AK82" s="73" t="e">
        <f t="shared" ref="AK82:AX82" si="72">AJ79*EXP((AK$4-AJ$4)*-LN(2)/8.091)</f>
        <v>#DIV/0!</v>
      </c>
      <c r="AL82" s="73" t="e">
        <f t="shared" si="72"/>
        <v>#DIV/0!</v>
      </c>
      <c r="AM82" s="73" t="e">
        <f t="shared" si="72"/>
        <v>#DIV/0!</v>
      </c>
      <c r="AN82" s="73" t="e">
        <f t="shared" si="72"/>
        <v>#DIV/0!</v>
      </c>
      <c r="AO82" s="73" t="e">
        <f t="shared" si="72"/>
        <v>#DIV/0!</v>
      </c>
      <c r="AP82" s="73" t="e">
        <f t="shared" si="72"/>
        <v>#DIV/0!</v>
      </c>
      <c r="AQ82" s="73" t="e">
        <f t="shared" si="72"/>
        <v>#DIV/0!</v>
      </c>
      <c r="AR82" s="73" t="e">
        <f t="shared" si="72"/>
        <v>#DIV/0!</v>
      </c>
      <c r="AS82" s="73" t="e">
        <f t="shared" si="72"/>
        <v>#DIV/0!</v>
      </c>
      <c r="AT82" s="73" t="e">
        <f t="shared" si="72"/>
        <v>#DIV/0!</v>
      </c>
      <c r="AU82" s="73" t="e">
        <f t="shared" si="72"/>
        <v>#DIV/0!</v>
      </c>
      <c r="AV82" s="73" t="e">
        <f t="shared" si="72"/>
        <v>#DIV/0!</v>
      </c>
      <c r="AW82" s="73" t="e">
        <f t="shared" si="72"/>
        <v>#DIV/0!</v>
      </c>
      <c r="AX82" s="73" t="e">
        <f t="shared" si="72"/>
        <v>#DIV/0!</v>
      </c>
      <c r="AY82" s="73" t="e">
        <f>AX79*EXP((AY$4-AX$4)*-LN(2)/8.091)</f>
        <v>#DIV/0!</v>
      </c>
      <c r="AZ82" s="73" t="e">
        <f>AY79*EXP((AZ$4-AY$4)*-LN(2)/8.091)</f>
        <v>#DIV/0!</v>
      </c>
      <c r="BA82" s="73" t="e">
        <f>AZ79*EXP((BA$4-AZ$4)*-LN(2)/8.091)</f>
        <v>#DIV/0!</v>
      </c>
      <c r="BB82" s="73" t="e">
        <f>BA79*EXP((BB$4-BA$4)*-LN(2)/8.091)</f>
        <v>#DIV/0!</v>
      </c>
      <c r="BC82" s="130"/>
    </row>
    <row r="83" spans="1:55" ht="14.25" customHeight="1">
      <c r="A83" s="113"/>
      <c r="E83" s="93"/>
      <c r="I83" s="93"/>
      <c r="J83" s="107"/>
      <c r="K83" s="105" t="s">
        <v>35</v>
      </c>
      <c r="L83" s="80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105" t="s">
        <v>35</v>
      </c>
      <c r="AH83" s="147"/>
      <c r="AI83" s="74" t="e">
        <f t="shared" ref="AI83:BB83" si="73">AI79-AI82</f>
        <v>#DIV/0!</v>
      </c>
      <c r="AJ83" s="74" t="e">
        <f t="shared" si="73"/>
        <v>#DIV/0!</v>
      </c>
      <c r="AK83" s="74" t="e">
        <f t="shared" si="73"/>
        <v>#DIV/0!</v>
      </c>
      <c r="AL83" s="74" t="e">
        <f t="shared" si="73"/>
        <v>#DIV/0!</v>
      </c>
      <c r="AM83" s="74" t="e">
        <f t="shared" si="73"/>
        <v>#DIV/0!</v>
      </c>
      <c r="AN83" s="74" t="e">
        <f t="shared" si="73"/>
        <v>#DIV/0!</v>
      </c>
      <c r="AO83" s="74" t="e">
        <f t="shared" si="73"/>
        <v>#DIV/0!</v>
      </c>
      <c r="AP83" s="74" t="e">
        <f t="shared" si="73"/>
        <v>#DIV/0!</v>
      </c>
      <c r="AQ83" s="74" t="e">
        <f t="shared" si="73"/>
        <v>#DIV/0!</v>
      </c>
      <c r="AR83" s="74" t="e">
        <f t="shared" si="73"/>
        <v>#DIV/0!</v>
      </c>
      <c r="AS83" s="74" t="e">
        <f t="shared" si="73"/>
        <v>#DIV/0!</v>
      </c>
      <c r="AT83" s="74" t="e">
        <f t="shared" si="73"/>
        <v>#DIV/0!</v>
      </c>
      <c r="AU83" s="74" t="e">
        <f t="shared" si="73"/>
        <v>#DIV/0!</v>
      </c>
      <c r="AV83" s="74" t="e">
        <f t="shared" si="73"/>
        <v>#DIV/0!</v>
      </c>
      <c r="AW83" s="74" t="e">
        <f t="shared" si="73"/>
        <v>#DIV/0!</v>
      </c>
      <c r="AX83" s="74" t="e">
        <f t="shared" si="73"/>
        <v>#DIV/0!</v>
      </c>
      <c r="AY83" s="74" t="e">
        <f t="shared" si="73"/>
        <v>#DIV/0!</v>
      </c>
      <c r="AZ83" s="74" t="e">
        <f t="shared" si="73"/>
        <v>#DIV/0!</v>
      </c>
      <c r="BA83" s="74" t="e">
        <f t="shared" si="73"/>
        <v>#DIV/0!</v>
      </c>
      <c r="BB83" s="74" t="e">
        <f t="shared" si="73"/>
        <v>#DIV/0!</v>
      </c>
      <c r="BC83" s="130"/>
    </row>
    <row r="84" spans="1:55" ht="14.25" customHeight="1">
      <c r="A84" s="113"/>
      <c r="E84" s="93"/>
      <c r="I84" s="93"/>
      <c r="J84" s="107"/>
      <c r="K84" s="105" t="s">
        <v>49</v>
      </c>
      <c r="L84" s="80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105" t="s">
        <v>49</v>
      </c>
      <c r="AH84" s="147" t="e">
        <f>AH79/AH$32</f>
        <v>#DIV/0!</v>
      </c>
      <c r="AI84" s="74" t="e">
        <f>AI79/AI$32</f>
        <v>#DIV/0!</v>
      </c>
      <c r="AJ84" s="74" t="e">
        <f>AJ79/AJ$32</f>
        <v>#DIV/0!</v>
      </c>
      <c r="AK84" s="74" t="e">
        <f t="shared" ref="AK84:AX84" si="74">AK79/AK$32</f>
        <v>#DIV/0!</v>
      </c>
      <c r="AL84" s="74" t="e">
        <f t="shared" si="74"/>
        <v>#DIV/0!</v>
      </c>
      <c r="AM84" s="74" t="e">
        <f t="shared" si="74"/>
        <v>#DIV/0!</v>
      </c>
      <c r="AN84" s="74" t="e">
        <f t="shared" si="74"/>
        <v>#DIV/0!</v>
      </c>
      <c r="AO84" s="74" t="e">
        <f t="shared" si="74"/>
        <v>#DIV/0!</v>
      </c>
      <c r="AP84" s="74" t="e">
        <f t="shared" si="74"/>
        <v>#DIV/0!</v>
      </c>
      <c r="AQ84" s="74" t="e">
        <f t="shared" si="74"/>
        <v>#DIV/0!</v>
      </c>
      <c r="AR84" s="74" t="e">
        <f t="shared" si="74"/>
        <v>#DIV/0!</v>
      </c>
      <c r="AS84" s="74" t="e">
        <f t="shared" si="74"/>
        <v>#DIV/0!</v>
      </c>
      <c r="AT84" s="74" t="e">
        <f t="shared" si="74"/>
        <v>#DIV/0!</v>
      </c>
      <c r="AU84" s="74" t="e">
        <f t="shared" si="74"/>
        <v>#DIV/0!</v>
      </c>
      <c r="AV84" s="74" t="e">
        <f t="shared" si="74"/>
        <v>#DIV/0!</v>
      </c>
      <c r="AW84" s="74" t="e">
        <f t="shared" si="74"/>
        <v>#DIV/0!</v>
      </c>
      <c r="AX84" s="74" t="e">
        <f t="shared" si="74"/>
        <v>#DIV/0!</v>
      </c>
      <c r="AY84" s="74" t="e">
        <f>AY79/AY$32</f>
        <v>#DIV/0!</v>
      </c>
      <c r="AZ84" s="74" t="e">
        <f>AZ79/AZ$32</f>
        <v>#DIV/0!</v>
      </c>
      <c r="BA84" s="74" t="e">
        <f>BA79/BA$32</f>
        <v>#DIV/0!</v>
      </c>
      <c r="BB84" s="74" t="e">
        <f>BB79/BB$32</f>
        <v>#DIV/0!</v>
      </c>
      <c r="BC84" s="130"/>
    </row>
    <row r="85" spans="1:55" ht="15">
      <c r="A85" s="113"/>
      <c r="E85" s="52"/>
      <c r="I85" s="52"/>
      <c r="K85" s="133"/>
      <c r="AG85" s="132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148"/>
    </row>
    <row r="86" spans="1:55" ht="14.25" customHeight="1">
      <c r="A86" s="113"/>
      <c r="E86" s="118" t="str">
        <f>'FIG6 Groups'!C13</f>
        <v>Group 8</v>
      </c>
      <c r="I86" s="118" t="str">
        <f>E86</f>
        <v>Group 8</v>
      </c>
      <c r="J86" s="107" t="e">
        <f>AVERAGEIF($E$5:$E$30,$E86,J$5:J$30)</f>
        <v>#DIV/0!</v>
      </c>
      <c r="K86" s="106" t="s">
        <v>9</v>
      </c>
      <c r="L86" s="78" t="e">
        <f>AVERAGEIF($E$5:$E$30,$E86,L$5:L$30)</f>
        <v>#DIV/0!</v>
      </c>
      <c r="M86" s="78" t="e">
        <f>AVERAGEIF($E$5:$E$30,$E86,M$5:M$30)</f>
        <v>#DIV/0!</v>
      </c>
      <c r="N86" s="78" t="e">
        <f>AVERAGEIF($E$5:$E$30,$E86,N$5:N$30)</f>
        <v>#DIV/0!</v>
      </c>
      <c r="O86" s="78" t="e">
        <f>AVERAGEIF($E$5:$E$30,$E86,O$5:O$30)</f>
        <v>#DIV/0!</v>
      </c>
      <c r="P86" s="78" t="e">
        <f>AVERAGEIF($E$5:$E$30,$E86,P$5:P$30)</f>
        <v>#DIV/0!</v>
      </c>
      <c r="Q86" s="78" t="e">
        <f>AVERAGEIF($E$5:$E$30,$E86,Q$5:Q$30)</f>
        <v>#DIV/0!</v>
      </c>
      <c r="R86" s="78" t="e">
        <f>AVERAGEIF($E$5:$E$30,$E86,R$5:R$30)</f>
        <v>#DIV/0!</v>
      </c>
      <c r="S86" s="78" t="e">
        <f>AVERAGEIF($E$5:$E$30,$E86,S$5:S$30)</f>
        <v>#DIV/0!</v>
      </c>
      <c r="T86" s="78" t="e">
        <f>AVERAGEIF($E$5:$E$30,$E86,T$5:T$30)</f>
        <v>#DIV/0!</v>
      </c>
      <c r="U86" s="78" t="e">
        <f>AVERAGEIF($E$5:$E$30,$E86,U$5:U$30)</f>
        <v>#DIV/0!</v>
      </c>
      <c r="V86" s="78" t="e">
        <f>AVERAGEIF($E$5:$E$30,$E86,V$5:V$30)</f>
        <v>#DIV/0!</v>
      </c>
      <c r="W86" s="78" t="e">
        <f>AVERAGEIF($E$5:$E$30,$E86,W$5:W$30)</f>
        <v>#DIV/0!</v>
      </c>
      <c r="X86" s="78" t="e">
        <f>AVERAGEIF($E$5:$E$30,$E86,X$5:X$30)</f>
        <v>#DIV/0!</v>
      </c>
      <c r="Y86" s="78" t="e">
        <f>AVERAGEIF($E$5:$E$30,$E86,Y$5:Y$30)</f>
        <v>#DIV/0!</v>
      </c>
      <c r="Z86" s="78" t="e">
        <f>AVERAGEIF($E$5:$E$30,$E86,Z$5:Z$30)</f>
        <v>#DIV/0!</v>
      </c>
      <c r="AA86" s="78" t="e">
        <f>AVERAGEIF($E$5:$E$30,$E86,AA$5:AA$30)</f>
        <v>#DIV/0!</v>
      </c>
      <c r="AB86" s="78" t="e">
        <f>AVERAGEIF($E$5:$E$30,$E86,AB$5:AB$30)</f>
        <v>#DIV/0!</v>
      </c>
      <c r="AC86" s="78" t="e">
        <f>AVERAGEIF($E$5:$E$30,$E86,AC$5:AC$30)</f>
        <v>#DIV/0!</v>
      </c>
      <c r="AD86" s="78" t="e">
        <f>AVERAGEIF($E$5:$E$30,$E86,AD$5:AD$30)</f>
        <v>#DIV/0!</v>
      </c>
      <c r="AE86" s="78" t="e">
        <f>AVERAGEIF($E$5:$E$30,$E86,AE$5:AE$30)</f>
        <v>#DIV/0!</v>
      </c>
      <c r="AF86" s="78" t="e">
        <f>AVERAGEIF($E$5:$E$30,$E86,AF$5:AF$30)</f>
        <v>#DIV/0!</v>
      </c>
      <c r="AG86" s="136" t="s">
        <v>9</v>
      </c>
      <c r="AH86" s="73" t="e">
        <f>AVERAGEIF($E$5:$E$30,$E86,AH$5:AH$30)</f>
        <v>#DIV/0!</v>
      </c>
      <c r="AI86" s="73" t="e">
        <f>AVERAGEIF($E$5:$E$30,$E86,AI$5:AI$30)</f>
        <v>#DIV/0!</v>
      </c>
      <c r="AJ86" s="73" t="e">
        <f>AVERAGEIF($E$5:$E$30,$E86,AJ$5:AJ$30)</f>
        <v>#DIV/0!</v>
      </c>
      <c r="AK86" s="73" t="e">
        <f>AVERAGEIF($E$5:$E$30,$E86,AK$5:AK$30)</f>
        <v>#DIV/0!</v>
      </c>
      <c r="AL86" s="73" t="e">
        <f>AVERAGEIF($E$5:$E$30,$E86,AL$5:AL$30)</f>
        <v>#DIV/0!</v>
      </c>
      <c r="AM86" s="73" t="e">
        <f>AVERAGEIF($E$5:$E$30,$E86,AM$5:AM$30)</f>
        <v>#DIV/0!</v>
      </c>
      <c r="AN86" s="73" t="e">
        <f>AVERAGEIF($E$5:$E$30,$E86,AN$5:AN$30)</f>
        <v>#DIV/0!</v>
      </c>
      <c r="AO86" s="73" t="e">
        <f>AVERAGEIF($E$5:$E$30,$E86,AO$5:AO$30)</f>
        <v>#DIV/0!</v>
      </c>
      <c r="AP86" s="73" t="e">
        <f>AVERAGEIF($E$5:$E$30,$E86,AP$5:AP$30)</f>
        <v>#DIV/0!</v>
      </c>
      <c r="AQ86" s="73" t="e">
        <f>AVERAGEIF($E$5:$E$30,$E86,AQ$5:AQ$30)</f>
        <v>#DIV/0!</v>
      </c>
      <c r="AR86" s="73" t="e">
        <f>AVERAGEIF($E$5:$E$30,$E86,AR$5:AR$30)</f>
        <v>#DIV/0!</v>
      </c>
      <c r="AS86" s="73" t="e">
        <f>AVERAGEIF($E$5:$E$30,$E86,AS$5:AS$30)</f>
        <v>#DIV/0!</v>
      </c>
      <c r="AT86" s="73" t="e">
        <f>AVERAGEIF($E$5:$E$30,$E86,AT$5:AT$30)</f>
        <v>#DIV/0!</v>
      </c>
      <c r="AU86" s="73" t="e">
        <f>AVERAGEIF($E$5:$E$30,$E86,AU$5:AU$30)</f>
        <v>#DIV/0!</v>
      </c>
      <c r="AV86" s="73" t="e">
        <f>AVERAGEIF($E$5:$E$30,$E86,AV$5:AV$30)</f>
        <v>#DIV/0!</v>
      </c>
      <c r="AW86" s="73" t="e">
        <f>AVERAGEIF($E$5:$E$30,$E86,AW$5:AW$30)</f>
        <v>#DIV/0!</v>
      </c>
      <c r="AX86" s="73" t="e">
        <f>AVERAGEIF($E$5:$E$30,$E86,AX$5:AX$30)</f>
        <v>#DIV/0!</v>
      </c>
      <c r="AY86" s="73" t="e">
        <f>AVERAGEIF($E$5:$E$30,$E86,AY$5:AY$30)</f>
        <v>#DIV/0!</v>
      </c>
      <c r="AZ86" s="73" t="e">
        <f>AVERAGEIF($E$5:$E$30,$E86,AZ$5:AZ$30)</f>
        <v>#DIV/0!</v>
      </c>
      <c r="BA86" s="73" t="e">
        <f>AVERAGEIF($E$5:$E$30,$E86,BA$5:BA$30)</f>
        <v>#DIV/0!</v>
      </c>
      <c r="BB86" s="73" t="e">
        <f>AVERAGEIF($E$5:$E$30,$E86,BB$5:BB$30)</f>
        <v>#DIV/0!</v>
      </c>
      <c r="BC86" s="76"/>
    </row>
    <row r="87" spans="1:55" ht="14.25" customHeight="1">
      <c r="A87" s="113"/>
      <c r="E87" s="93"/>
      <c r="I87" s="93"/>
      <c r="J87" s="107" t="e">
        <f t="array" ref="J87">_xlfn.STDEV.P(IF($E$5:$E$30=$E86,J$5:J$30))</f>
        <v>#DIV/0!</v>
      </c>
      <c r="K87" s="106" t="s">
        <v>11</v>
      </c>
      <c r="L87" s="81" t="e">
        <f t="array" ref="L87">_xlfn.STDEV.P(IF($E$5:$E$30=$E86,L$5:L$30))</f>
        <v>#DIV/0!</v>
      </c>
      <c r="M87" s="81" t="e">
        <f t="array" ref="M87">_xlfn.STDEV.P(IF($E$5:$E$30=$E86,M$5:M$30))</f>
        <v>#DIV/0!</v>
      </c>
      <c r="N87" s="81" t="e">
        <f t="array" ref="N87">_xlfn.STDEV.P(IF($E$5:$E$30=$E86,N$5:N$30))</f>
        <v>#DIV/0!</v>
      </c>
      <c r="O87" s="81" t="e">
        <f t="array" ref="O87">_xlfn.STDEV.P(IF($E$5:$E$30=$E86,O$5:O$30))</f>
        <v>#DIV/0!</v>
      </c>
      <c r="P87" s="81" t="e">
        <f t="array" ref="P87">_xlfn.STDEV.P(IF($E$5:$E$30=$E86,P$5:P$30))</f>
        <v>#DIV/0!</v>
      </c>
      <c r="Q87" s="81" t="e">
        <f t="array" ref="Q87">_xlfn.STDEV.P(IF($E$5:$E$30=$E86,Q$5:Q$30))</f>
        <v>#DIV/0!</v>
      </c>
      <c r="R87" s="81" t="e">
        <f t="array" ref="R87">_xlfn.STDEV.P(IF($E$5:$E$30=$E86,R$5:R$30))</f>
        <v>#DIV/0!</v>
      </c>
      <c r="S87" s="81" t="e">
        <f t="array" ref="S87">_xlfn.STDEV.P(IF($E$5:$E$30=$E86,S$5:S$30))</f>
        <v>#DIV/0!</v>
      </c>
      <c r="T87" s="81" t="e">
        <f t="array" ref="T87">_xlfn.STDEV.P(IF($E$5:$E$30=$E86,T$5:T$30))</f>
        <v>#DIV/0!</v>
      </c>
      <c r="U87" s="81" t="e">
        <f t="array" ref="U87">_xlfn.STDEV.P(IF($E$5:$E$30=$E86,U$5:U$30))</f>
        <v>#DIV/0!</v>
      </c>
      <c r="V87" s="81" t="e">
        <f t="array" ref="V87">_xlfn.STDEV.P(IF($E$5:$E$30=$E86,V$5:V$30))</f>
        <v>#DIV/0!</v>
      </c>
      <c r="W87" s="81" t="e">
        <f t="array" ref="W87">_xlfn.STDEV.P(IF($E$5:$E$30=$E86,W$5:W$30))</f>
        <v>#DIV/0!</v>
      </c>
      <c r="X87" s="81" t="e">
        <f t="array" ref="X87">_xlfn.STDEV.P(IF($E$5:$E$30=$E86,X$5:X$30))</f>
        <v>#DIV/0!</v>
      </c>
      <c r="Y87" s="81" t="e">
        <f t="array" ref="Y87">_xlfn.STDEV.P(IF($E$5:$E$30=$E86,Y$5:Y$30))</f>
        <v>#DIV/0!</v>
      </c>
      <c r="Z87" s="81" t="e">
        <f t="array" ref="Z87">_xlfn.STDEV.P(IF($E$5:$E$30=$E86,Z$5:Z$30))</f>
        <v>#DIV/0!</v>
      </c>
      <c r="AA87" s="81" t="e">
        <f t="array" ref="AA87">_xlfn.STDEV.P(IF($E$5:$E$30=$E86,AA$5:AA$30))</f>
        <v>#DIV/0!</v>
      </c>
      <c r="AB87" s="81" t="e">
        <f t="array" ref="AB87">_xlfn.STDEV.P(IF($E$5:$E$30=$E86,AB$5:AB$30))</f>
        <v>#DIV/0!</v>
      </c>
      <c r="AC87" s="81" t="e">
        <f t="array" ref="AC87">_xlfn.STDEV.P(IF($E$5:$E$30=$E86,AC$5:AC$30))</f>
        <v>#DIV/0!</v>
      </c>
      <c r="AD87" s="81" t="e">
        <f t="array" ref="AD87">_xlfn.STDEV.P(IF($E$5:$E$30=$E86,AD$5:AD$30))</f>
        <v>#DIV/0!</v>
      </c>
      <c r="AE87" s="81" t="e">
        <f t="array" ref="AE87">_xlfn.STDEV.P(IF($E$5:$E$30=$E86,AE$5:AE$30))</f>
        <v>#DIV/0!</v>
      </c>
      <c r="AF87" s="81" t="e">
        <f t="array" ref="AF87">_xlfn.STDEV.P(IF($E$5:$E$30=$E86,AF$5:AF$30))</f>
        <v>#DIV/0!</v>
      </c>
      <c r="AG87" s="137" t="s">
        <v>11</v>
      </c>
      <c r="AH87" s="74" t="e">
        <f t="array" ref="AH87">_xlfn.STDEV.P(IF($E$5:$E$30=$E86,AH$5:AH$30))</f>
        <v>#DIV/0!</v>
      </c>
      <c r="AI87" s="74" t="e">
        <f t="array" ref="AI87">_xlfn.STDEV.P(IF($E$5:$E$30=$E86,AI$5:AI$30))</f>
        <v>#DIV/0!</v>
      </c>
      <c r="AJ87" s="74" t="e">
        <f t="array" ref="AJ87">_xlfn.STDEV.P(IF($E$5:$E$30=$E86,AJ$5:AJ$30))</f>
        <v>#DIV/0!</v>
      </c>
      <c r="AK87" s="74" t="e">
        <f t="array" ref="AK87">_xlfn.STDEV.P(IF($E$5:$E$30=$E86,AK$5:AK$30))</f>
        <v>#DIV/0!</v>
      </c>
      <c r="AL87" s="74" t="e">
        <f t="array" ref="AL87">_xlfn.STDEV.P(IF($E$5:$E$30=$E86,AL$5:AL$30))</f>
        <v>#DIV/0!</v>
      </c>
      <c r="AM87" s="74" t="e">
        <f t="array" ref="AM87">_xlfn.STDEV.P(IF($E$5:$E$30=$E86,AM$5:AM$30))</f>
        <v>#DIV/0!</v>
      </c>
      <c r="AN87" s="74" t="e">
        <f t="array" ref="AN87">_xlfn.STDEV.P(IF($E$5:$E$30=$E86,AN$5:AN$30))</f>
        <v>#DIV/0!</v>
      </c>
      <c r="AO87" s="74" t="e">
        <f t="array" ref="AO87">_xlfn.STDEV.P(IF($E$5:$E$30=$E86,AO$5:AO$30))</f>
        <v>#DIV/0!</v>
      </c>
      <c r="AP87" s="74" t="e">
        <f t="array" ref="AP87">_xlfn.STDEV.P(IF($E$5:$E$30=$E86,AP$5:AP$30))</f>
        <v>#DIV/0!</v>
      </c>
      <c r="AQ87" s="74" t="e">
        <f t="array" ref="AQ87">_xlfn.STDEV.P(IF($E$5:$E$30=$E86,AQ$5:AQ$30))</f>
        <v>#DIV/0!</v>
      </c>
      <c r="AR87" s="74" t="e">
        <f t="array" ref="AR87">_xlfn.STDEV.P(IF($E$5:$E$30=$E86,AR$5:AR$30))</f>
        <v>#DIV/0!</v>
      </c>
      <c r="AS87" s="74" t="e">
        <f t="array" ref="AS87">_xlfn.STDEV.P(IF($E$5:$E$30=$E86,AS$5:AS$30))</f>
        <v>#DIV/0!</v>
      </c>
      <c r="AT87" s="74" t="e">
        <f t="array" ref="AT87">_xlfn.STDEV.P(IF($E$5:$E$30=$E86,AT$5:AT$30))</f>
        <v>#DIV/0!</v>
      </c>
      <c r="AU87" s="74" t="e">
        <f t="array" ref="AU87">_xlfn.STDEV.P(IF($E$5:$E$30=$E86,AU$5:AU$30))</f>
        <v>#DIV/0!</v>
      </c>
      <c r="AV87" s="74" t="e">
        <f t="array" ref="AV87">_xlfn.STDEV.P(IF($E$5:$E$30=$E86,AV$5:AV$30))</f>
        <v>#DIV/0!</v>
      </c>
      <c r="AW87" s="74" t="e">
        <f t="array" ref="AW87">_xlfn.STDEV.P(IF($E$5:$E$30=$E86,AW$5:AW$30))</f>
        <v>#DIV/0!</v>
      </c>
      <c r="AX87" s="74" t="e">
        <f t="array" ref="AX87">_xlfn.STDEV.P(IF($E$5:$E$30=$E86,AX$5:AX$30))</f>
        <v>#DIV/0!</v>
      </c>
      <c r="AY87" s="74" t="e">
        <f t="array" ref="AY87">_xlfn.STDEV.P(IF($E$5:$E$30=$E86,AY$5:AY$30))</f>
        <v>#DIV/0!</v>
      </c>
      <c r="AZ87" s="74" t="e">
        <f t="array" ref="AZ87">_xlfn.STDEV.P(IF($E$5:$E$30=$E86,AZ$5:AZ$30))</f>
        <v>#DIV/0!</v>
      </c>
      <c r="BA87" s="74" t="e">
        <f t="array" ref="BA87">_xlfn.STDEV.P(IF($E$5:$E$30=$E86,BA$5:BA$30))</f>
        <v>#DIV/0!</v>
      </c>
      <c r="BB87" s="74" t="e">
        <f t="array" ref="BB87">_xlfn.STDEV.P(IF($E$5:$E$30=$E86,BB$5:BB$30))</f>
        <v>#DIV/0!</v>
      </c>
      <c r="BC87" s="76"/>
    </row>
    <row r="88" spans="1:55" ht="14.25" customHeight="1">
      <c r="A88" s="113"/>
      <c r="E88" s="93"/>
      <c r="I88" s="93"/>
      <c r="J88" s="107"/>
      <c r="K88" s="131" t="s">
        <v>34</v>
      </c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131" t="s">
        <v>34</v>
      </c>
      <c r="AH88" s="73" t="e">
        <f>AH86-AH$32</f>
        <v>#DIV/0!</v>
      </c>
      <c r="AI88" s="73" t="e">
        <f>AI86-AI$32</f>
        <v>#DIV/0!</v>
      </c>
      <c r="AJ88" s="73" t="e">
        <f t="shared" ref="AJ88:AX88" si="75">AJ86-AJ$32</f>
        <v>#DIV/0!</v>
      </c>
      <c r="AK88" s="73" t="e">
        <f t="shared" si="75"/>
        <v>#DIV/0!</v>
      </c>
      <c r="AL88" s="73" t="e">
        <f t="shared" si="75"/>
        <v>#DIV/0!</v>
      </c>
      <c r="AM88" s="73" t="e">
        <f t="shared" si="75"/>
        <v>#DIV/0!</v>
      </c>
      <c r="AN88" s="73" t="e">
        <f t="shared" si="75"/>
        <v>#DIV/0!</v>
      </c>
      <c r="AO88" s="73" t="e">
        <f t="shared" si="75"/>
        <v>#DIV/0!</v>
      </c>
      <c r="AP88" s="73" t="e">
        <f t="shared" si="75"/>
        <v>#DIV/0!</v>
      </c>
      <c r="AQ88" s="73" t="e">
        <f t="shared" si="75"/>
        <v>#DIV/0!</v>
      </c>
      <c r="AR88" s="73" t="e">
        <f t="shared" si="75"/>
        <v>#DIV/0!</v>
      </c>
      <c r="AS88" s="73" t="e">
        <f t="shared" si="75"/>
        <v>#DIV/0!</v>
      </c>
      <c r="AT88" s="73" t="e">
        <f t="shared" si="75"/>
        <v>#DIV/0!</v>
      </c>
      <c r="AU88" s="73" t="e">
        <f t="shared" si="75"/>
        <v>#DIV/0!</v>
      </c>
      <c r="AV88" s="73" t="e">
        <f t="shared" si="75"/>
        <v>#DIV/0!</v>
      </c>
      <c r="AW88" s="73" t="e">
        <f t="shared" si="75"/>
        <v>#DIV/0!</v>
      </c>
      <c r="AX88" s="73" t="e">
        <f t="shared" si="75"/>
        <v>#DIV/0!</v>
      </c>
      <c r="AY88" s="73" t="e">
        <f>AY86-AY$32</f>
        <v>#DIV/0!</v>
      </c>
      <c r="AZ88" s="73" t="e">
        <f>AZ86-AZ$32</f>
        <v>#DIV/0!</v>
      </c>
      <c r="BA88" s="73" t="e">
        <f>BA86-BA$32</f>
        <v>#DIV/0!</v>
      </c>
      <c r="BB88" s="73" t="e">
        <f>BB86-BB$32</f>
        <v>#DIV/0!</v>
      </c>
      <c r="BC88" s="130"/>
    </row>
    <row r="89" spans="1:55" ht="14.25" customHeight="1">
      <c r="A89" s="113"/>
      <c r="E89" s="93"/>
      <c r="I89" s="93"/>
      <c r="J89" s="107"/>
      <c r="K89" s="105" t="s">
        <v>48</v>
      </c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105" t="s">
        <v>48</v>
      </c>
      <c r="AH89" s="73"/>
      <c r="AI89" s="73" t="e">
        <f>AH86*EXP((AI$4-AH$4)*-LN(2)/8.091)</f>
        <v>#DIV/0!</v>
      </c>
      <c r="AJ89" s="73" t="e">
        <f>AI86*EXP((AJ$4-AI$4)*-LN(2)/8.091)</f>
        <v>#DIV/0!</v>
      </c>
      <c r="AK89" s="73" t="e">
        <f t="shared" ref="AK89:AX89" si="76">AJ86*EXP((AK$4-AJ$4)*-LN(2)/8.091)</f>
        <v>#DIV/0!</v>
      </c>
      <c r="AL89" s="73" t="e">
        <f t="shared" si="76"/>
        <v>#DIV/0!</v>
      </c>
      <c r="AM89" s="73" t="e">
        <f t="shared" si="76"/>
        <v>#DIV/0!</v>
      </c>
      <c r="AN89" s="73" t="e">
        <f t="shared" si="76"/>
        <v>#DIV/0!</v>
      </c>
      <c r="AO89" s="73" t="e">
        <f t="shared" si="76"/>
        <v>#DIV/0!</v>
      </c>
      <c r="AP89" s="73" t="e">
        <f t="shared" si="76"/>
        <v>#DIV/0!</v>
      </c>
      <c r="AQ89" s="73" t="e">
        <f t="shared" si="76"/>
        <v>#DIV/0!</v>
      </c>
      <c r="AR89" s="73" t="e">
        <f t="shared" si="76"/>
        <v>#DIV/0!</v>
      </c>
      <c r="AS89" s="73" t="e">
        <f t="shared" si="76"/>
        <v>#DIV/0!</v>
      </c>
      <c r="AT89" s="73" t="e">
        <f t="shared" si="76"/>
        <v>#DIV/0!</v>
      </c>
      <c r="AU89" s="73" t="e">
        <f t="shared" si="76"/>
        <v>#DIV/0!</v>
      </c>
      <c r="AV89" s="73" t="e">
        <f t="shared" si="76"/>
        <v>#DIV/0!</v>
      </c>
      <c r="AW89" s="73" t="e">
        <f t="shared" si="76"/>
        <v>#DIV/0!</v>
      </c>
      <c r="AX89" s="73" t="e">
        <f t="shared" si="76"/>
        <v>#DIV/0!</v>
      </c>
      <c r="AY89" s="73" t="e">
        <f>AX86*EXP((AY$4-AX$4)*-LN(2)/8.091)</f>
        <v>#DIV/0!</v>
      </c>
      <c r="AZ89" s="73" t="e">
        <f>AY86*EXP((AZ$4-AY$4)*-LN(2)/8.091)</f>
        <v>#DIV/0!</v>
      </c>
      <c r="BA89" s="73" t="e">
        <f>AZ86*EXP((BA$4-AZ$4)*-LN(2)/8.091)</f>
        <v>#DIV/0!</v>
      </c>
      <c r="BB89" s="73" t="e">
        <f>BA86*EXP((BB$4-BA$4)*-LN(2)/8.091)</f>
        <v>#DIV/0!</v>
      </c>
      <c r="BC89" s="130"/>
    </row>
    <row r="90" spans="1:55" ht="14.25" customHeight="1">
      <c r="A90" s="113"/>
      <c r="E90" s="93"/>
      <c r="I90" s="93"/>
      <c r="J90" s="107"/>
      <c r="K90" s="105" t="s">
        <v>35</v>
      </c>
      <c r="L90" s="80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105" t="s">
        <v>35</v>
      </c>
      <c r="AH90" s="147"/>
      <c r="AI90" s="74" t="e">
        <f t="shared" ref="AI90:BB90" si="77">AI86-AI89</f>
        <v>#DIV/0!</v>
      </c>
      <c r="AJ90" s="74" t="e">
        <f t="shared" si="77"/>
        <v>#DIV/0!</v>
      </c>
      <c r="AK90" s="74" t="e">
        <f t="shared" si="77"/>
        <v>#DIV/0!</v>
      </c>
      <c r="AL90" s="74" t="e">
        <f t="shared" si="77"/>
        <v>#DIV/0!</v>
      </c>
      <c r="AM90" s="74" t="e">
        <f t="shared" si="77"/>
        <v>#DIV/0!</v>
      </c>
      <c r="AN90" s="74" t="e">
        <f t="shared" si="77"/>
        <v>#DIV/0!</v>
      </c>
      <c r="AO90" s="74" t="e">
        <f t="shared" si="77"/>
        <v>#DIV/0!</v>
      </c>
      <c r="AP90" s="74" t="e">
        <f t="shared" si="77"/>
        <v>#DIV/0!</v>
      </c>
      <c r="AQ90" s="74" t="e">
        <f t="shared" si="77"/>
        <v>#DIV/0!</v>
      </c>
      <c r="AR90" s="74" t="e">
        <f t="shared" si="77"/>
        <v>#DIV/0!</v>
      </c>
      <c r="AS90" s="74" t="e">
        <f t="shared" si="77"/>
        <v>#DIV/0!</v>
      </c>
      <c r="AT90" s="74" t="e">
        <f t="shared" si="77"/>
        <v>#DIV/0!</v>
      </c>
      <c r="AU90" s="74" t="e">
        <f t="shared" si="77"/>
        <v>#DIV/0!</v>
      </c>
      <c r="AV90" s="74" t="e">
        <f t="shared" si="77"/>
        <v>#DIV/0!</v>
      </c>
      <c r="AW90" s="74" t="e">
        <f t="shared" si="77"/>
        <v>#DIV/0!</v>
      </c>
      <c r="AX90" s="74" t="e">
        <f t="shared" si="77"/>
        <v>#DIV/0!</v>
      </c>
      <c r="AY90" s="74" t="e">
        <f t="shared" si="77"/>
        <v>#DIV/0!</v>
      </c>
      <c r="AZ90" s="74" t="e">
        <f t="shared" si="77"/>
        <v>#DIV/0!</v>
      </c>
      <c r="BA90" s="74" t="e">
        <f t="shared" si="77"/>
        <v>#DIV/0!</v>
      </c>
      <c r="BB90" s="74" t="e">
        <f t="shared" si="77"/>
        <v>#DIV/0!</v>
      </c>
      <c r="BC90" s="130"/>
    </row>
    <row r="91" spans="1:55" ht="14.25" customHeight="1">
      <c r="A91" s="113"/>
      <c r="E91" s="93"/>
      <c r="I91" s="93"/>
      <c r="J91" s="107"/>
      <c r="K91" s="105" t="s">
        <v>49</v>
      </c>
      <c r="L91" s="80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105" t="s">
        <v>49</v>
      </c>
      <c r="AH91" s="147" t="e">
        <f>AH86/AH$32</f>
        <v>#DIV/0!</v>
      </c>
      <c r="AI91" s="74" t="e">
        <f>AI86/AI$32</f>
        <v>#DIV/0!</v>
      </c>
      <c r="AJ91" s="74" t="e">
        <f>AJ86/AJ$32</f>
        <v>#DIV/0!</v>
      </c>
      <c r="AK91" s="74" t="e">
        <f t="shared" ref="AK91:AX91" si="78">AK86/AK$32</f>
        <v>#DIV/0!</v>
      </c>
      <c r="AL91" s="74" t="e">
        <f t="shared" si="78"/>
        <v>#DIV/0!</v>
      </c>
      <c r="AM91" s="74" t="e">
        <f t="shared" si="78"/>
        <v>#DIV/0!</v>
      </c>
      <c r="AN91" s="74" t="e">
        <f t="shared" si="78"/>
        <v>#DIV/0!</v>
      </c>
      <c r="AO91" s="74" t="e">
        <f t="shared" si="78"/>
        <v>#DIV/0!</v>
      </c>
      <c r="AP91" s="74" t="e">
        <f t="shared" si="78"/>
        <v>#DIV/0!</v>
      </c>
      <c r="AQ91" s="74" t="e">
        <f t="shared" si="78"/>
        <v>#DIV/0!</v>
      </c>
      <c r="AR91" s="74" t="e">
        <f t="shared" si="78"/>
        <v>#DIV/0!</v>
      </c>
      <c r="AS91" s="74" t="e">
        <f t="shared" si="78"/>
        <v>#DIV/0!</v>
      </c>
      <c r="AT91" s="74" t="e">
        <f t="shared" si="78"/>
        <v>#DIV/0!</v>
      </c>
      <c r="AU91" s="74" t="e">
        <f t="shared" si="78"/>
        <v>#DIV/0!</v>
      </c>
      <c r="AV91" s="74" t="e">
        <f t="shared" si="78"/>
        <v>#DIV/0!</v>
      </c>
      <c r="AW91" s="74" t="e">
        <f t="shared" si="78"/>
        <v>#DIV/0!</v>
      </c>
      <c r="AX91" s="74" t="e">
        <f t="shared" si="78"/>
        <v>#DIV/0!</v>
      </c>
      <c r="AY91" s="74" t="e">
        <f>AY86/AY$32</f>
        <v>#DIV/0!</v>
      </c>
      <c r="AZ91" s="74" t="e">
        <f>AZ86/AZ$32</f>
        <v>#DIV/0!</v>
      </c>
      <c r="BA91" s="74" t="e">
        <f>BA86/BA$32</f>
        <v>#DIV/0!</v>
      </c>
      <c r="BB91" s="74" t="e">
        <f>BB86/BB$32</f>
        <v>#DIV/0!</v>
      </c>
      <c r="BC91" s="130"/>
    </row>
    <row r="92" spans="1:55" ht="15">
      <c r="A92" s="113"/>
      <c r="E92" s="52"/>
      <c r="I92" s="52"/>
      <c r="K92" s="133"/>
      <c r="AG92" s="132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148"/>
    </row>
    <row r="93" spans="1:55" ht="14.25" customHeight="1">
      <c r="A93" s="113"/>
      <c r="E93" s="118" t="str">
        <f>'FIG6 Groups'!C14</f>
        <v>Group 9</v>
      </c>
      <c r="I93" s="118" t="str">
        <f>E93</f>
        <v>Group 9</v>
      </c>
      <c r="J93" s="107" t="e">
        <f>AVERAGEIF($E$5:$E$30,$E93,J$5:J$30)</f>
        <v>#DIV/0!</v>
      </c>
      <c r="K93" s="106" t="s">
        <v>9</v>
      </c>
      <c r="L93" s="78" t="e">
        <f>AVERAGEIF($E$5:$E$30,$E93,L$5:L$30)</f>
        <v>#DIV/0!</v>
      </c>
      <c r="M93" s="78" t="e">
        <f>AVERAGEIF($E$5:$E$30,$E93,M$5:M$30)</f>
        <v>#DIV/0!</v>
      </c>
      <c r="N93" s="78" t="e">
        <f>AVERAGEIF($E$5:$E$30,$E93,N$5:N$30)</f>
        <v>#DIV/0!</v>
      </c>
      <c r="O93" s="78" t="e">
        <f>AVERAGEIF($E$5:$E$30,$E93,O$5:O$30)</f>
        <v>#DIV/0!</v>
      </c>
      <c r="P93" s="78" t="e">
        <f>AVERAGEIF($E$5:$E$30,$E93,P$5:P$30)</f>
        <v>#DIV/0!</v>
      </c>
      <c r="Q93" s="78" t="e">
        <f>AVERAGEIF($E$5:$E$30,$E93,Q$5:Q$30)</f>
        <v>#DIV/0!</v>
      </c>
      <c r="R93" s="78" t="e">
        <f>AVERAGEIF($E$5:$E$30,$E93,R$5:R$30)</f>
        <v>#DIV/0!</v>
      </c>
      <c r="S93" s="78" t="e">
        <f>AVERAGEIF($E$5:$E$30,$E93,S$5:S$30)</f>
        <v>#DIV/0!</v>
      </c>
      <c r="T93" s="78" t="e">
        <f>AVERAGEIF($E$5:$E$30,$E93,T$5:T$30)</f>
        <v>#DIV/0!</v>
      </c>
      <c r="U93" s="78" t="e">
        <f>AVERAGEIF($E$5:$E$30,$E93,U$5:U$30)</f>
        <v>#DIV/0!</v>
      </c>
      <c r="V93" s="78" t="e">
        <f>AVERAGEIF($E$5:$E$30,$E93,V$5:V$30)</f>
        <v>#DIV/0!</v>
      </c>
      <c r="W93" s="78" t="e">
        <f>AVERAGEIF($E$5:$E$30,$E93,W$5:W$30)</f>
        <v>#DIV/0!</v>
      </c>
      <c r="X93" s="78" t="e">
        <f>AVERAGEIF($E$5:$E$30,$E93,X$5:X$30)</f>
        <v>#DIV/0!</v>
      </c>
      <c r="Y93" s="78" t="e">
        <f>AVERAGEIF($E$5:$E$30,$E93,Y$5:Y$30)</f>
        <v>#DIV/0!</v>
      </c>
      <c r="Z93" s="78" t="e">
        <f>AVERAGEIF($E$5:$E$30,$E93,Z$5:Z$30)</f>
        <v>#DIV/0!</v>
      </c>
      <c r="AA93" s="78" t="e">
        <f>AVERAGEIF($E$5:$E$30,$E93,AA$5:AA$30)</f>
        <v>#DIV/0!</v>
      </c>
      <c r="AB93" s="78" t="e">
        <f>AVERAGEIF($E$5:$E$30,$E93,AB$5:AB$30)</f>
        <v>#DIV/0!</v>
      </c>
      <c r="AC93" s="78" t="e">
        <f>AVERAGEIF($E$5:$E$30,$E93,AC$5:AC$30)</f>
        <v>#DIV/0!</v>
      </c>
      <c r="AD93" s="78" t="e">
        <f>AVERAGEIF($E$5:$E$30,$E93,AD$5:AD$30)</f>
        <v>#DIV/0!</v>
      </c>
      <c r="AE93" s="78" t="e">
        <f>AVERAGEIF($E$5:$E$30,$E93,AE$5:AE$30)</f>
        <v>#DIV/0!</v>
      </c>
      <c r="AF93" s="78" t="e">
        <f>AVERAGEIF($E$5:$E$30,$E93,AF$5:AF$30)</f>
        <v>#DIV/0!</v>
      </c>
      <c r="AG93" s="136" t="s">
        <v>9</v>
      </c>
      <c r="AH93" s="73" t="e">
        <f>AVERAGEIF($E$5:$E$30,$E93,AH$5:AH$30)</f>
        <v>#DIV/0!</v>
      </c>
      <c r="AI93" s="73" t="e">
        <f>AVERAGEIF($E$5:$E$30,$E93,AI$5:AI$30)</f>
        <v>#DIV/0!</v>
      </c>
      <c r="AJ93" s="73" t="e">
        <f>AVERAGEIF($E$5:$E$30,$E93,AJ$5:AJ$30)</f>
        <v>#DIV/0!</v>
      </c>
      <c r="AK93" s="73" t="e">
        <f>AVERAGEIF($E$5:$E$30,$E93,AK$5:AK$30)</f>
        <v>#DIV/0!</v>
      </c>
      <c r="AL93" s="73" t="e">
        <f>AVERAGEIF($E$5:$E$30,$E93,AL$5:AL$30)</f>
        <v>#DIV/0!</v>
      </c>
      <c r="AM93" s="73" t="e">
        <f>AVERAGEIF($E$5:$E$30,$E93,AM$5:AM$30)</f>
        <v>#DIV/0!</v>
      </c>
      <c r="AN93" s="73" t="e">
        <f>AVERAGEIF($E$5:$E$30,$E93,AN$5:AN$30)</f>
        <v>#DIV/0!</v>
      </c>
      <c r="AO93" s="73" t="e">
        <f>AVERAGEIF($E$5:$E$30,$E93,AO$5:AO$30)</f>
        <v>#DIV/0!</v>
      </c>
      <c r="AP93" s="73" t="e">
        <f>AVERAGEIF($E$5:$E$30,$E93,AP$5:AP$30)</f>
        <v>#DIV/0!</v>
      </c>
      <c r="AQ93" s="73" t="e">
        <f>AVERAGEIF($E$5:$E$30,$E93,AQ$5:AQ$30)</f>
        <v>#DIV/0!</v>
      </c>
      <c r="AR93" s="73" t="e">
        <f>AVERAGEIF($E$5:$E$30,$E93,AR$5:AR$30)</f>
        <v>#DIV/0!</v>
      </c>
      <c r="AS93" s="73" t="e">
        <f>AVERAGEIF($E$5:$E$30,$E93,AS$5:AS$30)</f>
        <v>#DIV/0!</v>
      </c>
      <c r="AT93" s="73" t="e">
        <f>AVERAGEIF($E$5:$E$30,$E93,AT$5:AT$30)</f>
        <v>#DIV/0!</v>
      </c>
      <c r="AU93" s="73" t="e">
        <f>AVERAGEIF($E$5:$E$30,$E93,AU$5:AU$30)</f>
        <v>#DIV/0!</v>
      </c>
      <c r="AV93" s="73" t="e">
        <f>AVERAGEIF($E$5:$E$30,$E93,AV$5:AV$30)</f>
        <v>#DIV/0!</v>
      </c>
      <c r="AW93" s="73" t="e">
        <f>AVERAGEIF($E$5:$E$30,$E93,AW$5:AW$30)</f>
        <v>#DIV/0!</v>
      </c>
      <c r="AX93" s="73" t="e">
        <f>AVERAGEIF($E$5:$E$30,$E93,AX$5:AX$30)</f>
        <v>#DIV/0!</v>
      </c>
      <c r="AY93" s="73" t="e">
        <f>AVERAGEIF($E$5:$E$30,$E93,AY$5:AY$30)</f>
        <v>#DIV/0!</v>
      </c>
      <c r="AZ93" s="73" t="e">
        <f>AVERAGEIF($E$5:$E$30,$E93,AZ$5:AZ$30)</f>
        <v>#DIV/0!</v>
      </c>
      <c r="BA93" s="73" t="e">
        <f>AVERAGEIF($E$5:$E$30,$E93,BA$5:BA$30)</f>
        <v>#DIV/0!</v>
      </c>
      <c r="BB93" s="73" t="e">
        <f>AVERAGEIF($E$5:$E$30,$E93,BB$5:BB$30)</f>
        <v>#DIV/0!</v>
      </c>
      <c r="BC93" s="76"/>
    </row>
    <row r="94" spans="1:55" ht="14.25" customHeight="1">
      <c r="A94" s="113"/>
      <c r="E94" s="93"/>
      <c r="I94" s="93"/>
      <c r="J94" s="107" t="e">
        <f t="array" ref="J94">_xlfn.STDEV.P(IF($E$5:$E$30=$E93,J$5:J$30))</f>
        <v>#DIV/0!</v>
      </c>
      <c r="K94" s="106" t="s">
        <v>11</v>
      </c>
      <c r="L94" s="81" t="e">
        <f t="array" ref="L94">_xlfn.STDEV.P(IF($E$5:$E$30=$E93,L$5:L$30))</f>
        <v>#DIV/0!</v>
      </c>
      <c r="M94" s="81" t="e">
        <f t="array" ref="M94">_xlfn.STDEV.P(IF($E$5:$E$30=$E93,M$5:M$30))</f>
        <v>#DIV/0!</v>
      </c>
      <c r="N94" s="81" t="e">
        <f t="array" ref="N94">_xlfn.STDEV.P(IF($E$5:$E$30=$E93,N$5:N$30))</f>
        <v>#DIV/0!</v>
      </c>
      <c r="O94" s="81" t="e">
        <f t="array" ref="O94">_xlfn.STDEV.P(IF($E$5:$E$30=$E93,O$5:O$30))</f>
        <v>#DIV/0!</v>
      </c>
      <c r="P94" s="81" t="e">
        <f t="array" ref="P94">_xlfn.STDEV.P(IF($E$5:$E$30=$E93,P$5:P$30))</f>
        <v>#DIV/0!</v>
      </c>
      <c r="Q94" s="81" t="e">
        <f t="array" ref="Q94">_xlfn.STDEV.P(IF($E$5:$E$30=$E93,Q$5:Q$30))</f>
        <v>#DIV/0!</v>
      </c>
      <c r="R94" s="81" t="e">
        <f t="array" ref="R94">_xlfn.STDEV.P(IF($E$5:$E$30=$E93,R$5:R$30))</f>
        <v>#DIV/0!</v>
      </c>
      <c r="S94" s="81" t="e">
        <f t="array" ref="S94">_xlfn.STDEV.P(IF($E$5:$E$30=$E93,S$5:S$30))</f>
        <v>#DIV/0!</v>
      </c>
      <c r="T94" s="81" t="e">
        <f t="array" ref="T94">_xlfn.STDEV.P(IF($E$5:$E$30=$E93,T$5:T$30))</f>
        <v>#DIV/0!</v>
      </c>
      <c r="U94" s="81" t="e">
        <f t="array" ref="U94">_xlfn.STDEV.P(IF($E$5:$E$30=$E93,U$5:U$30))</f>
        <v>#DIV/0!</v>
      </c>
      <c r="V94" s="81" t="e">
        <f t="array" ref="V94">_xlfn.STDEV.P(IF($E$5:$E$30=$E93,V$5:V$30))</f>
        <v>#DIV/0!</v>
      </c>
      <c r="W94" s="81" t="e">
        <f t="array" ref="W94">_xlfn.STDEV.P(IF($E$5:$E$30=$E93,W$5:W$30))</f>
        <v>#DIV/0!</v>
      </c>
      <c r="X94" s="81" t="e">
        <f t="array" ref="X94">_xlfn.STDEV.P(IF($E$5:$E$30=$E93,X$5:X$30))</f>
        <v>#DIV/0!</v>
      </c>
      <c r="Y94" s="81" t="e">
        <f t="array" ref="Y94">_xlfn.STDEV.P(IF($E$5:$E$30=$E93,Y$5:Y$30))</f>
        <v>#DIV/0!</v>
      </c>
      <c r="Z94" s="81" t="e">
        <f t="array" ref="Z94">_xlfn.STDEV.P(IF($E$5:$E$30=$E93,Z$5:Z$30))</f>
        <v>#DIV/0!</v>
      </c>
      <c r="AA94" s="81" t="e">
        <f t="array" ref="AA94">_xlfn.STDEV.P(IF($E$5:$E$30=$E93,AA$5:AA$30))</f>
        <v>#DIV/0!</v>
      </c>
      <c r="AB94" s="81" t="e">
        <f t="array" ref="AB94">_xlfn.STDEV.P(IF($E$5:$E$30=$E93,AB$5:AB$30))</f>
        <v>#DIV/0!</v>
      </c>
      <c r="AC94" s="81" t="e">
        <f t="array" ref="AC94">_xlfn.STDEV.P(IF($E$5:$E$30=$E93,AC$5:AC$30))</f>
        <v>#DIV/0!</v>
      </c>
      <c r="AD94" s="81" t="e">
        <f t="array" ref="AD94">_xlfn.STDEV.P(IF($E$5:$E$30=$E93,AD$5:AD$30))</f>
        <v>#DIV/0!</v>
      </c>
      <c r="AE94" s="81" t="e">
        <f t="array" ref="AE94">_xlfn.STDEV.P(IF($E$5:$E$30=$E93,AE$5:AE$30))</f>
        <v>#DIV/0!</v>
      </c>
      <c r="AF94" s="81" t="e">
        <f t="array" ref="AF94">_xlfn.STDEV.P(IF($E$5:$E$30=$E93,AF$5:AF$30))</f>
        <v>#DIV/0!</v>
      </c>
      <c r="AG94" s="137" t="s">
        <v>11</v>
      </c>
      <c r="AH94" s="74" t="e">
        <f t="array" ref="AH94">_xlfn.STDEV.P(IF($E$5:$E$30=$E93,AH$5:AH$30))</f>
        <v>#DIV/0!</v>
      </c>
      <c r="AI94" s="74" t="e">
        <f t="array" ref="AI94">_xlfn.STDEV.P(IF($E$5:$E$30=$E93,AI$5:AI$30))</f>
        <v>#DIV/0!</v>
      </c>
      <c r="AJ94" s="74" t="e">
        <f t="array" ref="AJ94">_xlfn.STDEV.P(IF($E$5:$E$30=$E93,AJ$5:AJ$30))</f>
        <v>#DIV/0!</v>
      </c>
      <c r="AK94" s="74" t="e">
        <f t="array" ref="AK94">_xlfn.STDEV.P(IF($E$5:$E$30=$E93,AK$5:AK$30))</f>
        <v>#DIV/0!</v>
      </c>
      <c r="AL94" s="74" t="e">
        <f t="array" ref="AL94">_xlfn.STDEV.P(IF($E$5:$E$30=$E93,AL$5:AL$30))</f>
        <v>#DIV/0!</v>
      </c>
      <c r="AM94" s="74" t="e">
        <f t="array" ref="AM94">_xlfn.STDEV.P(IF($E$5:$E$30=$E93,AM$5:AM$30))</f>
        <v>#DIV/0!</v>
      </c>
      <c r="AN94" s="74" t="e">
        <f t="array" ref="AN94">_xlfn.STDEV.P(IF($E$5:$E$30=$E93,AN$5:AN$30))</f>
        <v>#DIV/0!</v>
      </c>
      <c r="AO94" s="74" t="e">
        <f t="array" ref="AO94">_xlfn.STDEV.P(IF($E$5:$E$30=$E93,AO$5:AO$30))</f>
        <v>#DIV/0!</v>
      </c>
      <c r="AP94" s="74" t="e">
        <f t="array" ref="AP94">_xlfn.STDEV.P(IF($E$5:$E$30=$E93,AP$5:AP$30))</f>
        <v>#DIV/0!</v>
      </c>
      <c r="AQ94" s="74" t="e">
        <f t="array" ref="AQ94">_xlfn.STDEV.P(IF($E$5:$E$30=$E93,AQ$5:AQ$30))</f>
        <v>#DIV/0!</v>
      </c>
      <c r="AR94" s="74" t="e">
        <f t="array" ref="AR94">_xlfn.STDEV.P(IF($E$5:$E$30=$E93,AR$5:AR$30))</f>
        <v>#DIV/0!</v>
      </c>
      <c r="AS94" s="74" t="e">
        <f t="array" ref="AS94">_xlfn.STDEV.P(IF($E$5:$E$30=$E93,AS$5:AS$30))</f>
        <v>#DIV/0!</v>
      </c>
      <c r="AT94" s="74" t="e">
        <f t="array" ref="AT94">_xlfn.STDEV.P(IF($E$5:$E$30=$E93,AT$5:AT$30))</f>
        <v>#DIV/0!</v>
      </c>
      <c r="AU94" s="74" t="e">
        <f t="array" ref="AU94">_xlfn.STDEV.P(IF($E$5:$E$30=$E93,AU$5:AU$30))</f>
        <v>#DIV/0!</v>
      </c>
      <c r="AV94" s="74" t="e">
        <f t="array" ref="AV94">_xlfn.STDEV.P(IF($E$5:$E$30=$E93,AV$5:AV$30))</f>
        <v>#DIV/0!</v>
      </c>
      <c r="AW94" s="74" t="e">
        <f t="array" ref="AW94">_xlfn.STDEV.P(IF($E$5:$E$30=$E93,AW$5:AW$30))</f>
        <v>#DIV/0!</v>
      </c>
      <c r="AX94" s="74" t="e">
        <f t="array" ref="AX94">_xlfn.STDEV.P(IF($E$5:$E$30=$E93,AX$5:AX$30))</f>
        <v>#DIV/0!</v>
      </c>
      <c r="AY94" s="74" t="e">
        <f t="array" ref="AY94">_xlfn.STDEV.P(IF($E$5:$E$30=$E93,AY$5:AY$30))</f>
        <v>#DIV/0!</v>
      </c>
      <c r="AZ94" s="74" t="e">
        <f t="array" ref="AZ94">_xlfn.STDEV.P(IF($E$5:$E$30=$E93,AZ$5:AZ$30))</f>
        <v>#DIV/0!</v>
      </c>
      <c r="BA94" s="74" t="e">
        <f t="array" ref="BA94">_xlfn.STDEV.P(IF($E$5:$E$30=$E93,BA$5:BA$30))</f>
        <v>#DIV/0!</v>
      </c>
      <c r="BB94" s="74" t="e">
        <f t="array" ref="BB94">_xlfn.STDEV.P(IF($E$5:$E$30=$E93,BB$5:BB$30))</f>
        <v>#DIV/0!</v>
      </c>
      <c r="BC94" s="76"/>
    </row>
    <row r="95" spans="1:55" ht="14.25" customHeight="1">
      <c r="A95" s="113"/>
      <c r="E95" s="93"/>
      <c r="I95" s="93"/>
      <c r="J95" s="107"/>
      <c r="K95" s="131" t="s">
        <v>34</v>
      </c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131" t="s">
        <v>34</v>
      </c>
      <c r="AH95" s="73" t="e">
        <f>AH93-AH$32</f>
        <v>#DIV/0!</v>
      </c>
      <c r="AI95" s="73" t="e">
        <f>AI93-AI$32</f>
        <v>#DIV/0!</v>
      </c>
      <c r="AJ95" s="73" t="e">
        <f t="shared" ref="AJ95:AX95" si="79">AJ93-AJ$32</f>
        <v>#DIV/0!</v>
      </c>
      <c r="AK95" s="73" t="e">
        <f t="shared" si="79"/>
        <v>#DIV/0!</v>
      </c>
      <c r="AL95" s="73" t="e">
        <f t="shared" si="79"/>
        <v>#DIV/0!</v>
      </c>
      <c r="AM95" s="73" t="e">
        <f t="shared" si="79"/>
        <v>#DIV/0!</v>
      </c>
      <c r="AN95" s="73" t="e">
        <f t="shared" si="79"/>
        <v>#DIV/0!</v>
      </c>
      <c r="AO95" s="73" t="e">
        <f t="shared" si="79"/>
        <v>#DIV/0!</v>
      </c>
      <c r="AP95" s="73" t="e">
        <f t="shared" si="79"/>
        <v>#DIV/0!</v>
      </c>
      <c r="AQ95" s="73" t="e">
        <f t="shared" si="79"/>
        <v>#DIV/0!</v>
      </c>
      <c r="AR95" s="73" t="e">
        <f t="shared" si="79"/>
        <v>#DIV/0!</v>
      </c>
      <c r="AS95" s="73" t="e">
        <f t="shared" si="79"/>
        <v>#DIV/0!</v>
      </c>
      <c r="AT95" s="73" t="e">
        <f t="shared" si="79"/>
        <v>#DIV/0!</v>
      </c>
      <c r="AU95" s="73" t="e">
        <f t="shared" si="79"/>
        <v>#DIV/0!</v>
      </c>
      <c r="AV95" s="73" t="e">
        <f t="shared" si="79"/>
        <v>#DIV/0!</v>
      </c>
      <c r="AW95" s="73" t="e">
        <f t="shared" si="79"/>
        <v>#DIV/0!</v>
      </c>
      <c r="AX95" s="73" t="e">
        <f t="shared" si="79"/>
        <v>#DIV/0!</v>
      </c>
      <c r="AY95" s="73" t="e">
        <f>AY93-AY$32</f>
        <v>#DIV/0!</v>
      </c>
      <c r="AZ95" s="73" t="e">
        <f>AZ93-AZ$32</f>
        <v>#DIV/0!</v>
      </c>
      <c r="BA95" s="73" t="e">
        <f>BA93-BA$32</f>
        <v>#DIV/0!</v>
      </c>
      <c r="BB95" s="73" t="e">
        <f>BB93-BB$32</f>
        <v>#DIV/0!</v>
      </c>
      <c r="BC95" s="130"/>
    </row>
    <row r="96" spans="1:55" ht="14.25" customHeight="1">
      <c r="A96" s="113"/>
      <c r="E96" s="93"/>
      <c r="I96" s="93"/>
      <c r="J96" s="107"/>
      <c r="K96" s="105" t="s">
        <v>48</v>
      </c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105" t="s">
        <v>48</v>
      </c>
      <c r="AH96" s="73"/>
      <c r="AI96" s="73" t="e">
        <f>AH93*EXP((AI$4-AH$4)*-LN(2)/8.091)</f>
        <v>#DIV/0!</v>
      </c>
      <c r="AJ96" s="73" t="e">
        <f>AI93*EXP((AJ$4-AI$4)*-LN(2)/8.091)</f>
        <v>#DIV/0!</v>
      </c>
      <c r="AK96" s="73" t="e">
        <f t="shared" ref="AK96:AX96" si="80">AJ93*EXP((AK$4-AJ$4)*-LN(2)/8.091)</f>
        <v>#DIV/0!</v>
      </c>
      <c r="AL96" s="73" t="e">
        <f t="shared" si="80"/>
        <v>#DIV/0!</v>
      </c>
      <c r="AM96" s="73" t="e">
        <f t="shared" si="80"/>
        <v>#DIV/0!</v>
      </c>
      <c r="AN96" s="73" t="e">
        <f t="shared" si="80"/>
        <v>#DIV/0!</v>
      </c>
      <c r="AO96" s="73" t="e">
        <f t="shared" si="80"/>
        <v>#DIV/0!</v>
      </c>
      <c r="AP96" s="73" t="e">
        <f t="shared" si="80"/>
        <v>#DIV/0!</v>
      </c>
      <c r="AQ96" s="73" t="e">
        <f t="shared" si="80"/>
        <v>#DIV/0!</v>
      </c>
      <c r="AR96" s="73" t="e">
        <f t="shared" si="80"/>
        <v>#DIV/0!</v>
      </c>
      <c r="AS96" s="73" t="e">
        <f t="shared" si="80"/>
        <v>#DIV/0!</v>
      </c>
      <c r="AT96" s="73" t="e">
        <f t="shared" si="80"/>
        <v>#DIV/0!</v>
      </c>
      <c r="AU96" s="73" t="e">
        <f t="shared" si="80"/>
        <v>#DIV/0!</v>
      </c>
      <c r="AV96" s="73" t="e">
        <f t="shared" si="80"/>
        <v>#DIV/0!</v>
      </c>
      <c r="AW96" s="73" t="e">
        <f t="shared" si="80"/>
        <v>#DIV/0!</v>
      </c>
      <c r="AX96" s="73" t="e">
        <f t="shared" si="80"/>
        <v>#DIV/0!</v>
      </c>
      <c r="AY96" s="73" t="e">
        <f>AX93*EXP((AY$4-AX$4)*-LN(2)/8.091)</f>
        <v>#DIV/0!</v>
      </c>
      <c r="AZ96" s="73" t="e">
        <f>AY93*EXP((AZ$4-AY$4)*-LN(2)/8.091)</f>
        <v>#DIV/0!</v>
      </c>
      <c r="BA96" s="73" t="e">
        <f>AZ93*EXP((BA$4-AZ$4)*-LN(2)/8.091)</f>
        <v>#DIV/0!</v>
      </c>
      <c r="BB96" s="73" t="e">
        <f>BA93*EXP((BB$4-BA$4)*-LN(2)/8.091)</f>
        <v>#DIV/0!</v>
      </c>
      <c r="BC96" s="130"/>
    </row>
    <row r="97" spans="1:55" ht="14.25" customHeight="1">
      <c r="A97" s="113"/>
      <c r="E97" s="93"/>
      <c r="I97" s="93"/>
      <c r="J97" s="107"/>
      <c r="K97" s="105" t="s">
        <v>35</v>
      </c>
      <c r="L97" s="80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105" t="s">
        <v>35</v>
      </c>
      <c r="AH97" s="147"/>
      <c r="AI97" s="74" t="e">
        <f t="shared" ref="AI97:BB97" si="81">AI93-AI96</f>
        <v>#DIV/0!</v>
      </c>
      <c r="AJ97" s="74" t="e">
        <f t="shared" si="81"/>
        <v>#DIV/0!</v>
      </c>
      <c r="AK97" s="74" t="e">
        <f t="shared" si="81"/>
        <v>#DIV/0!</v>
      </c>
      <c r="AL97" s="74" t="e">
        <f t="shared" si="81"/>
        <v>#DIV/0!</v>
      </c>
      <c r="AM97" s="74" t="e">
        <f t="shared" si="81"/>
        <v>#DIV/0!</v>
      </c>
      <c r="AN97" s="74" t="e">
        <f t="shared" si="81"/>
        <v>#DIV/0!</v>
      </c>
      <c r="AO97" s="74" t="e">
        <f t="shared" si="81"/>
        <v>#DIV/0!</v>
      </c>
      <c r="AP97" s="74" t="e">
        <f t="shared" si="81"/>
        <v>#DIV/0!</v>
      </c>
      <c r="AQ97" s="74" t="e">
        <f t="shared" si="81"/>
        <v>#DIV/0!</v>
      </c>
      <c r="AR97" s="74" t="e">
        <f t="shared" si="81"/>
        <v>#DIV/0!</v>
      </c>
      <c r="AS97" s="74" t="e">
        <f t="shared" si="81"/>
        <v>#DIV/0!</v>
      </c>
      <c r="AT97" s="74" t="e">
        <f t="shared" si="81"/>
        <v>#DIV/0!</v>
      </c>
      <c r="AU97" s="74" t="e">
        <f t="shared" si="81"/>
        <v>#DIV/0!</v>
      </c>
      <c r="AV97" s="74" t="e">
        <f t="shared" si="81"/>
        <v>#DIV/0!</v>
      </c>
      <c r="AW97" s="74" t="e">
        <f t="shared" si="81"/>
        <v>#DIV/0!</v>
      </c>
      <c r="AX97" s="74" t="e">
        <f t="shared" si="81"/>
        <v>#DIV/0!</v>
      </c>
      <c r="AY97" s="74" t="e">
        <f t="shared" si="81"/>
        <v>#DIV/0!</v>
      </c>
      <c r="AZ97" s="74" t="e">
        <f t="shared" si="81"/>
        <v>#DIV/0!</v>
      </c>
      <c r="BA97" s="74" t="e">
        <f t="shared" si="81"/>
        <v>#DIV/0!</v>
      </c>
      <c r="BB97" s="74" t="e">
        <f t="shared" si="81"/>
        <v>#DIV/0!</v>
      </c>
      <c r="BC97" s="130"/>
    </row>
    <row r="98" spans="1:55" ht="14.25" customHeight="1">
      <c r="A98" s="113"/>
      <c r="E98" s="93"/>
      <c r="I98" s="93"/>
      <c r="J98" s="107"/>
      <c r="K98" s="105" t="s">
        <v>49</v>
      </c>
      <c r="L98" s="80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105" t="s">
        <v>49</v>
      </c>
      <c r="AH98" s="147" t="e">
        <f>AH93/AH$32</f>
        <v>#DIV/0!</v>
      </c>
      <c r="AI98" s="74" t="e">
        <f>AI93/AI$32</f>
        <v>#DIV/0!</v>
      </c>
      <c r="AJ98" s="74" t="e">
        <f>AJ93/AJ$32</f>
        <v>#DIV/0!</v>
      </c>
      <c r="AK98" s="74" t="e">
        <f t="shared" ref="AK98:AX98" si="82">AK93/AK$32</f>
        <v>#DIV/0!</v>
      </c>
      <c r="AL98" s="74" t="e">
        <f t="shared" si="82"/>
        <v>#DIV/0!</v>
      </c>
      <c r="AM98" s="74" t="e">
        <f t="shared" si="82"/>
        <v>#DIV/0!</v>
      </c>
      <c r="AN98" s="74" t="e">
        <f t="shared" si="82"/>
        <v>#DIV/0!</v>
      </c>
      <c r="AO98" s="74" t="e">
        <f t="shared" si="82"/>
        <v>#DIV/0!</v>
      </c>
      <c r="AP98" s="74" t="e">
        <f t="shared" si="82"/>
        <v>#DIV/0!</v>
      </c>
      <c r="AQ98" s="74" t="e">
        <f t="shared" si="82"/>
        <v>#DIV/0!</v>
      </c>
      <c r="AR98" s="74" t="e">
        <f t="shared" si="82"/>
        <v>#DIV/0!</v>
      </c>
      <c r="AS98" s="74" t="e">
        <f t="shared" si="82"/>
        <v>#DIV/0!</v>
      </c>
      <c r="AT98" s="74" t="e">
        <f t="shared" si="82"/>
        <v>#DIV/0!</v>
      </c>
      <c r="AU98" s="74" t="e">
        <f t="shared" si="82"/>
        <v>#DIV/0!</v>
      </c>
      <c r="AV98" s="74" t="e">
        <f t="shared" si="82"/>
        <v>#DIV/0!</v>
      </c>
      <c r="AW98" s="74" t="e">
        <f t="shared" si="82"/>
        <v>#DIV/0!</v>
      </c>
      <c r="AX98" s="74" t="e">
        <f t="shared" si="82"/>
        <v>#DIV/0!</v>
      </c>
      <c r="AY98" s="74" t="e">
        <f>AY93/AY$32</f>
        <v>#DIV/0!</v>
      </c>
      <c r="AZ98" s="74" t="e">
        <f>AZ93/AZ$32</f>
        <v>#DIV/0!</v>
      </c>
      <c r="BA98" s="74" t="e">
        <f>BA93/BA$32</f>
        <v>#DIV/0!</v>
      </c>
      <c r="BB98" s="74" t="e">
        <f>BB93/BB$32</f>
        <v>#DIV/0!</v>
      </c>
      <c r="BC98" s="130"/>
    </row>
    <row r="99" spans="1:55" ht="15">
      <c r="A99" s="113"/>
      <c r="E99" s="52"/>
      <c r="I99" s="52"/>
      <c r="K99" s="133"/>
      <c r="AG99" s="132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148"/>
    </row>
    <row r="100" spans="1:55" ht="14.25" customHeight="1">
      <c r="A100" s="113"/>
      <c r="E100" s="118" t="str">
        <f>'FIG6 Groups'!C15</f>
        <v>Group 10</v>
      </c>
      <c r="I100" s="118" t="str">
        <f>E100</f>
        <v>Group 10</v>
      </c>
      <c r="J100" s="107" t="e">
        <f>AVERAGEIF($E$5:$E$30,$E100,J$5:J$30)</f>
        <v>#DIV/0!</v>
      </c>
      <c r="K100" s="106" t="s">
        <v>9</v>
      </c>
      <c r="L100" s="78" t="e">
        <f>AVERAGEIF($E$5:$E$30,$E100,L$5:L$30)</f>
        <v>#DIV/0!</v>
      </c>
      <c r="M100" s="78" t="e">
        <f>AVERAGEIF($E$5:$E$30,$E100,M$5:M$30)</f>
        <v>#DIV/0!</v>
      </c>
      <c r="N100" s="78" t="e">
        <f>AVERAGEIF($E$5:$E$30,$E100,N$5:N$30)</f>
        <v>#DIV/0!</v>
      </c>
      <c r="O100" s="78" t="e">
        <f>AVERAGEIF($E$5:$E$30,$E100,O$5:O$30)</f>
        <v>#DIV/0!</v>
      </c>
      <c r="P100" s="78" t="e">
        <f>AVERAGEIF($E$5:$E$30,$E100,P$5:P$30)</f>
        <v>#DIV/0!</v>
      </c>
      <c r="Q100" s="78" t="e">
        <f>AVERAGEIF($E$5:$E$30,$E100,Q$5:Q$30)</f>
        <v>#DIV/0!</v>
      </c>
      <c r="R100" s="78" t="e">
        <f>AVERAGEIF($E$5:$E$30,$E100,R$5:R$30)</f>
        <v>#DIV/0!</v>
      </c>
      <c r="S100" s="78" t="e">
        <f>AVERAGEIF($E$5:$E$30,$E100,S$5:S$30)</f>
        <v>#DIV/0!</v>
      </c>
      <c r="T100" s="78" t="e">
        <f>AVERAGEIF($E$5:$E$30,$E100,T$5:T$30)</f>
        <v>#DIV/0!</v>
      </c>
      <c r="U100" s="78" t="e">
        <f>AVERAGEIF($E$5:$E$30,$E100,U$5:U$30)</f>
        <v>#DIV/0!</v>
      </c>
      <c r="V100" s="78" t="e">
        <f>AVERAGEIF($E$5:$E$30,$E100,V$5:V$30)</f>
        <v>#DIV/0!</v>
      </c>
      <c r="W100" s="78" t="e">
        <f>AVERAGEIF($E$5:$E$30,$E100,W$5:W$30)</f>
        <v>#DIV/0!</v>
      </c>
      <c r="X100" s="78" t="e">
        <f>AVERAGEIF($E$5:$E$30,$E100,X$5:X$30)</f>
        <v>#DIV/0!</v>
      </c>
      <c r="Y100" s="78" t="e">
        <f>AVERAGEIF($E$5:$E$30,$E100,Y$5:Y$30)</f>
        <v>#DIV/0!</v>
      </c>
      <c r="Z100" s="78" t="e">
        <f>AVERAGEIF($E$5:$E$30,$E100,Z$5:Z$30)</f>
        <v>#DIV/0!</v>
      </c>
      <c r="AA100" s="78" t="e">
        <f>AVERAGEIF($E$5:$E$30,$E100,AA$5:AA$30)</f>
        <v>#DIV/0!</v>
      </c>
      <c r="AB100" s="78" t="e">
        <f>AVERAGEIF($E$5:$E$30,$E100,AB$5:AB$30)</f>
        <v>#DIV/0!</v>
      </c>
      <c r="AC100" s="78" t="e">
        <f>AVERAGEIF($E$5:$E$30,$E100,AC$5:AC$30)</f>
        <v>#DIV/0!</v>
      </c>
      <c r="AD100" s="78" t="e">
        <f>AVERAGEIF($E$5:$E$30,$E100,AD$5:AD$30)</f>
        <v>#DIV/0!</v>
      </c>
      <c r="AE100" s="78" t="e">
        <f>AVERAGEIF($E$5:$E$30,$E100,AE$5:AE$30)</f>
        <v>#DIV/0!</v>
      </c>
      <c r="AF100" s="78" t="e">
        <f>AVERAGEIF($E$5:$E$30,$E100,AF$5:AF$30)</f>
        <v>#DIV/0!</v>
      </c>
      <c r="AG100" s="136" t="s">
        <v>9</v>
      </c>
      <c r="AH100" s="73" t="e">
        <f>AVERAGEIF($E$5:$E$30,$E100,AH$5:AH$30)</f>
        <v>#DIV/0!</v>
      </c>
      <c r="AI100" s="73" t="e">
        <f>AVERAGEIF($E$5:$E$30,$E100,AI$5:AI$30)</f>
        <v>#DIV/0!</v>
      </c>
      <c r="AJ100" s="73" t="e">
        <f>AVERAGEIF($E$5:$E$30,$E100,AJ$5:AJ$30)</f>
        <v>#DIV/0!</v>
      </c>
      <c r="AK100" s="73" t="e">
        <f>AVERAGEIF($E$5:$E$30,$E100,AK$5:AK$30)</f>
        <v>#DIV/0!</v>
      </c>
      <c r="AL100" s="73" t="e">
        <f>AVERAGEIF($E$5:$E$30,$E100,AL$5:AL$30)</f>
        <v>#DIV/0!</v>
      </c>
      <c r="AM100" s="73" t="e">
        <f>AVERAGEIF($E$5:$E$30,$E100,AM$5:AM$30)</f>
        <v>#DIV/0!</v>
      </c>
      <c r="AN100" s="73" t="e">
        <f>AVERAGEIF($E$5:$E$30,$E100,AN$5:AN$30)</f>
        <v>#DIV/0!</v>
      </c>
      <c r="AO100" s="73" t="e">
        <f>AVERAGEIF($E$5:$E$30,$E100,AO$5:AO$30)</f>
        <v>#DIV/0!</v>
      </c>
      <c r="AP100" s="73" t="e">
        <f>AVERAGEIF($E$5:$E$30,$E100,AP$5:AP$30)</f>
        <v>#DIV/0!</v>
      </c>
      <c r="AQ100" s="73" t="e">
        <f>AVERAGEIF($E$5:$E$30,$E100,AQ$5:AQ$30)</f>
        <v>#DIV/0!</v>
      </c>
      <c r="AR100" s="73" t="e">
        <f>AVERAGEIF($E$5:$E$30,$E100,AR$5:AR$30)</f>
        <v>#DIV/0!</v>
      </c>
      <c r="AS100" s="73" t="e">
        <f>AVERAGEIF($E$5:$E$30,$E100,AS$5:AS$30)</f>
        <v>#DIV/0!</v>
      </c>
      <c r="AT100" s="73" t="e">
        <f>AVERAGEIF($E$5:$E$30,$E100,AT$5:AT$30)</f>
        <v>#DIV/0!</v>
      </c>
      <c r="AU100" s="73" t="e">
        <f>AVERAGEIF($E$5:$E$30,$E100,AU$5:AU$30)</f>
        <v>#DIV/0!</v>
      </c>
      <c r="AV100" s="73" t="e">
        <f>AVERAGEIF($E$5:$E$30,$E100,AV$5:AV$30)</f>
        <v>#DIV/0!</v>
      </c>
      <c r="AW100" s="73" t="e">
        <f>AVERAGEIF($E$5:$E$30,$E100,AW$5:AW$30)</f>
        <v>#DIV/0!</v>
      </c>
      <c r="AX100" s="73" t="e">
        <f>AVERAGEIF($E$5:$E$30,$E100,AX$5:AX$30)</f>
        <v>#DIV/0!</v>
      </c>
      <c r="AY100" s="73" t="e">
        <f>AVERAGEIF($E$5:$E$30,$E100,AY$5:AY$30)</f>
        <v>#DIV/0!</v>
      </c>
      <c r="AZ100" s="73" t="e">
        <f>AVERAGEIF($E$5:$E$30,$E100,AZ$5:AZ$30)</f>
        <v>#DIV/0!</v>
      </c>
      <c r="BA100" s="73" t="e">
        <f>AVERAGEIF($E$5:$E$30,$E100,BA$5:BA$30)</f>
        <v>#DIV/0!</v>
      </c>
      <c r="BB100" s="73" t="e">
        <f>AVERAGEIF($E$5:$E$30,$E100,BB$5:BB$30)</f>
        <v>#DIV/0!</v>
      </c>
      <c r="BC100" s="76"/>
    </row>
    <row r="101" spans="1:55" ht="14.25" customHeight="1">
      <c r="A101" s="113"/>
      <c r="E101" s="93"/>
      <c r="I101" s="93"/>
      <c r="J101" s="107" t="e">
        <f t="array" ref="J101">_xlfn.STDEV.P(IF($E$5:$E$30=$E100,J$5:J$30))</f>
        <v>#DIV/0!</v>
      </c>
      <c r="K101" s="106" t="s">
        <v>11</v>
      </c>
      <c r="L101" s="81" t="e">
        <f t="array" ref="L101">_xlfn.STDEV.P(IF($E$5:$E$30=$E100,L$5:L$30))</f>
        <v>#DIV/0!</v>
      </c>
      <c r="M101" s="81" t="e">
        <f t="array" ref="M101">_xlfn.STDEV.P(IF($E$5:$E$30=$E100,M$5:M$30))</f>
        <v>#DIV/0!</v>
      </c>
      <c r="N101" s="81" t="e">
        <f t="array" ref="N101">_xlfn.STDEV.P(IF($E$5:$E$30=$E100,N$5:N$30))</f>
        <v>#DIV/0!</v>
      </c>
      <c r="O101" s="81" t="e">
        <f t="array" ref="O101">_xlfn.STDEV.P(IF($E$5:$E$30=$E100,O$5:O$30))</f>
        <v>#DIV/0!</v>
      </c>
      <c r="P101" s="81" t="e">
        <f t="array" ref="P101">_xlfn.STDEV.P(IF($E$5:$E$30=$E100,P$5:P$30))</f>
        <v>#DIV/0!</v>
      </c>
      <c r="Q101" s="81" t="e">
        <f t="array" ref="Q101">_xlfn.STDEV.P(IF($E$5:$E$30=$E100,Q$5:Q$30))</f>
        <v>#DIV/0!</v>
      </c>
      <c r="R101" s="81" t="e">
        <f t="array" ref="R101">_xlfn.STDEV.P(IF($E$5:$E$30=$E100,R$5:R$30))</f>
        <v>#DIV/0!</v>
      </c>
      <c r="S101" s="81" t="e">
        <f t="array" ref="S101">_xlfn.STDEV.P(IF($E$5:$E$30=$E100,S$5:S$30))</f>
        <v>#DIV/0!</v>
      </c>
      <c r="T101" s="81" t="e">
        <f t="array" ref="T101">_xlfn.STDEV.P(IF($E$5:$E$30=$E100,T$5:T$30))</f>
        <v>#DIV/0!</v>
      </c>
      <c r="U101" s="81" t="e">
        <f t="array" ref="U101">_xlfn.STDEV.P(IF($E$5:$E$30=$E100,U$5:U$30))</f>
        <v>#DIV/0!</v>
      </c>
      <c r="V101" s="81" t="e">
        <f t="array" ref="V101">_xlfn.STDEV.P(IF($E$5:$E$30=$E100,V$5:V$30))</f>
        <v>#DIV/0!</v>
      </c>
      <c r="W101" s="81" t="e">
        <f t="array" ref="W101">_xlfn.STDEV.P(IF($E$5:$E$30=$E100,W$5:W$30))</f>
        <v>#DIV/0!</v>
      </c>
      <c r="X101" s="81" t="e">
        <f t="array" ref="X101">_xlfn.STDEV.P(IF($E$5:$E$30=$E100,X$5:X$30))</f>
        <v>#DIV/0!</v>
      </c>
      <c r="Y101" s="81" t="e">
        <f t="array" ref="Y101">_xlfn.STDEV.P(IF($E$5:$E$30=$E100,Y$5:Y$30))</f>
        <v>#DIV/0!</v>
      </c>
      <c r="Z101" s="81" t="e">
        <f t="array" ref="Z101">_xlfn.STDEV.P(IF($E$5:$E$30=$E100,Z$5:Z$30))</f>
        <v>#DIV/0!</v>
      </c>
      <c r="AA101" s="81" t="e">
        <f t="array" ref="AA101">_xlfn.STDEV.P(IF($E$5:$E$30=$E100,AA$5:AA$30))</f>
        <v>#DIV/0!</v>
      </c>
      <c r="AB101" s="81" t="e">
        <f t="array" ref="AB101">_xlfn.STDEV.P(IF($E$5:$E$30=$E100,AB$5:AB$30))</f>
        <v>#DIV/0!</v>
      </c>
      <c r="AC101" s="81" t="e">
        <f t="array" ref="AC101">_xlfn.STDEV.P(IF($E$5:$E$30=$E100,AC$5:AC$30))</f>
        <v>#DIV/0!</v>
      </c>
      <c r="AD101" s="81" t="e">
        <f t="array" ref="AD101">_xlfn.STDEV.P(IF($E$5:$E$30=$E100,AD$5:AD$30))</f>
        <v>#DIV/0!</v>
      </c>
      <c r="AE101" s="81" t="e">
        <f t="array" ref="AE101">_xlfn.STDEV.P(IF($E$5:$E$30=$E100,AE$5:AE$30))</f>
        <v>#DIV/0!</v>
      </c>
      <c r="AF101" s="81" t="e">
        <f t="array" ref="AF101">_xlfn.STDEV.P(IF($E$5:$E$30=$E100,AF$5:AF$30))</f>
        <v>#DIV/0!</v>
      </c>
      <c r="AG101" s="137" t="s">
        <v>11</v>
      </c>
      <c r="AH101" s="74" t="e">
        <f t="array" ref="AH101">_xlfn.STDEV.P(IF($E$5:$E$30=$E100,AH$5:AH$30))</f>
        <v>#DIV/0!</v>
      </c>
      <c r="AI101" s="74" t="e">
        <f t="array" ref="AI101">_xlfn.STDEV.P(IF($E$5:$E$30=$E100,AI$5:AI$30))</f>
        <v>#DIV/0!</v>
      </c>
      <c r="AJ101" s="74" t="e">
        <f t="array" ref="AJ101">_xlfn.STDEV.P(IF($E$5:$E$30=$E100,AJ$5:AJ$30))</f>
        <v>#DIV/0!</v>
      </c>
      <c r="AK101" s="74" t="e">
        <f t="array" ref="AK101">_xlfn.STDEV.P(IF($E$5:$E$30=$E100,AK$5:AK$30))</f>
        <v>#DIV/0!</v>
      </c>
      <c r="AL101" s="74" t="e">
        <f t="array" ref="AL101">_xlfn.STDEV.P(IF($E$5:$E$30=$E100,AL$5:AL$30))</f>
        <v>#DIV/0!</v>
      </c>
      <c r="AM101" s="74" t="e">
        <f t="array" ref="AM101">_xlfn.STDEV.P(IF($E$5:$E$30=$E100,AM$5:AM$30))</f>
        <v>#DIV/0!</v>
      </c>
      <c r="AN101" s="74" t="e">
        <f t="array" ref="AN101">_xlfn.STDEV.P(IF($E$5:$E$30=$E100,AN$5:AN$30))</f>
        <v>#DIV/0!</v>
      </c>
      <c r="AO101" s="74" t="e">
        <f t="array" ref="AO101">_xlfn.STDEV.P(IF($E$5:$E$30=$E100,AO$5:AO$30))</f>
        <v>#DIV/0!</v>
      </c>
      <c r="AP101" s="74" t="e">
        <f t="array" ref="AP101">_xlfn.STDEV.P(IF($E$5:$E$30=$E100,AP$5:AP$30))</f>
        <v>#DIV/0!</v>
      </c>
      <c r="AQ101" s="74" t="e">
        <f t="array" ref="AQ101">_xlfn.STDEV.P(IF($E$5:$E$30=$E100,AQ$5:AQ$30))</f>
        <v>#DIV/0!</v>
      </c>
      <c r="AR101" s="74" t="e">
        <f t="array" ref="AR101">_xlfn.STDEV.P(IF($E$5:$E$30=$E100,AR$5:AR$30))</f>
        <v>#DIV/0!</v>
      </c>
      <c r="AS101" s="74" t="e">
        <f t="array" ref="AS101">_xlfn.STDEV.P(IF($E$5:$E$30=$E100,AS$5:AS$30))</f>
        <v>#DIV/0!</v>
      </c>
      <c r="AT101" s="74" t="e">
        <f t="array" ref="AT101">_xlfn.STDEV.P(IF($E$5:$E$30=$E100,AT$5:AT$30))</f>
        <v>#DIV/0!</v>
      </c>
      <c r="AU101" s="74" t="e">
        <f t="array" ref="AU101">_xlfn.STDEV.P(IF($E$5:$E$30=$E100,AU$5:AU$30))</f>
        <v>#DIV/0!</v>
      </c>
      <c r="AV101" s="74" t="e">
        <f t="array" ref="AV101">_xlfn.STDEV.P(IF($E$5:$E$30=$E100,AV$5:AV$30))</f>
        <v>#DIV/0!</v>
      </c>
      <c r="AW101" s="74" t="e">
        <f t="array" ref="AW101">_xlfn.STDEV.P(IF($E$5:$E$30=$E100,AW$5:AW$30))</f>
        <v>#DIV/0!</v>
      </c>
      <c r="AX101" s="74" t="e">
        <f t="array" ref="AX101">_xlfn.STDEV.P(IF($E$5:$E$30=$E100,AX$5:AX$30))</f>
        <v>#DIV/0!</v>
      </c>
      <c r="AY101" s="74" t="e">
        <f t="array" ref="AY101">_xlfn.STDEV.P(IF($E$5:$E$30=$E100,AY$5:AY$30))</f>
        <v>#DIV/0!</v>
      </c>
      <c r="AZ101" s="74" t="e">
        <f t="array" ref="AZ101">_xlfn.STDEV.P(IF($E$5:$E$30=$E100,AZ$5:AZ$30))</f>
        <v>#DIV/0!</v>
      </c>
      <c r="BA101" s="74" t="e">
        <f t="array" ref="BA101">_xlfn.STDEV.P(IF($E$5:$E$30=$E100,BA$5:BA$30))</f>
        <v>#DIV/0!</v>
      </c>
      <c r="BB101" s="74" t="e">
        <f t="array" ref="BB101">_xlfn.STDEV.P(IF($E$5:$E$30=$E100,BB$5:BB$30))</f>
        <v>#DIV/0!</v>
      </c>
      <c r="BC101" s="76"/>
    </row>
    <row r="102" spans="1:55" ht="14.25" customHeight="1">
      <c r="A102" s="113"/>
      <c r="E102" s="93"/>
      <c r="I102" s="93"/>
      <c r="J102" s="107"/>
      <c r="K102" s="131" t="s">
        <v>34</v>
      </c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131" t="s">
        <v>34</v>
      </c>
      <c r="AH102" s="73" t="e">
        <f>AH100-AH$32</f>
        <v>#DIV/0!</v>
      </c>
      <c r="AI102" s="73" t="e">
        <f>AI100-AI$32</f>
        <v>#DIV/0!</v>
      </c>
      <c r="AJ102" s="73" t="e">
        <f t="shared" ref="AJ102:AX102" si="83">AJ100-AJ$32</f>
        <v>#DIV/0!</v>
      </c>
      <c r="AK102" s="73" t="e">
        <f t="shared" si="83"/>
        <v>#DIV/0!</v>
      </c>
      <c r="AL102" s="73" t="e">
        <f t="shared" si="83"/>
        <v>#DIV/0!</v>
      </c>
      <c r="AM102" s="73" t="e">
        <f t="shared" si="83"/>
        <v>#DIV/0!</v>
      </c>
      <c r="AN102" s="73" t="e">
        <f t="shared" si="83"/>
        <v>#DIV/0!</v>
      </c>
      <c r="AO102" s="73" t="e">
        <f t="shared" si="83"/>
        <v>#DIV/0!</v>
      </c>
      <c r="AP102" s="73" t="e">
        <f t="shared" si="83"/>
        <v>#DIV/0!</v>
      </c>
      <c r="AQ102" s="73" t="e">
        <f t="shared" si="83"/>
        <v>#DIV/0!</v>
      </c>
      <c r="AR102" s="73" t="e">
        <f t="shared" si="83"/>
        <v>#DIV/0!</v>
      </c>
      <c r="AS102" s="73" t="e">
        <f t="shared" si="83"/>
        <v>#DIV/0!</v>
      </c>
      <c r="AT102" s="73" t="e">
        <f t="shared" si="83"/>
        <v>#DIV/0!</v>
      </c>
      <c r="AU102" s="73" t="e">
        <f t="shared" si="83"/>
        <v>#DIV/0!</v>
      </c>
      <c r="AV102" s="73" t="e">
        <f t="shared" si="83"/>
        <v>#DIV/0!</v>
      </c>
      <c r="AW102" s="73" t="e">
        <f t="shared" si="83"/>
        <v>#DIV/0!</v>
      </c>
      <c r="AX102" s="73" t="e">
        <f t="shared" si="83"/>
        <v>#DIV/0!</v>
      </c>
      <c r="AY102" s="73" t="e">
        <f>AY100-AY$32</f>
        <v>#DIV/0!</v>
      </c>
      <c r="AZ102" s="73" t="e">
        <f>AZ100-AZ$32</f>
        <v>#DIV/0!</v>
      </c>
      <c r="BA102" s="73" t="e">
        <f>BA100-BA$32</f>
        <v>#DIV/0!</v>
      </c>
      <c r="BB102" s="73" t="e">
        <f>BB100-BB$32</f>
        <v>#DIV/0!</v>
      </c>
      <c r="BC102" s="130"/>
    </row>
    <row r="103" spans="1:55" ht="14.25" customHeight="1">
      <c r="A103" s="113"/>
      <c r="E103" s="93"/>
      <c r="I103" s="93"/>
      <c r="J103" s="107"/>
      <c r="K103" s="105" t="s">
        <v>48</v>
      </c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105" t="s">
        <v>48</v>
      </c>
      <c r="AH103" s="73"/>
      <c r="AI103" s="73" t="e">
        <f>AH100*EXP((AI$4-AH$4)*-LN(2)/8.091)</f>
        <v>#DIV/0!</v>
      </c>
      <c r="AJ103" s="73" t="e">
        <f>AI100*EXP((AJ$4-AI$4)*-LN(2)/8.091)</f>
        <v>#DIV/0!</v>
      </c>
      <c r="AK103" s="73" t="e">
        <f t="shared" ref="AK103:AX103" si="84">AJ100*EXP((AK$4-AJ$4)*-LN(2)/8.091)</f>
        <v>#DIV/0!</v>
      </c>
      <c r="AL103" s="73" t="e">
        <f t="shared" si="84"/>
        <v>#DIV/0!</v>
      </c>
      <c r="AM103" s="73" t="e">
        <f t="shared" si="84"/>
        <v>#DIV/0!</v>
      </c>
      <c r="AN103" s="73" t="e">
        <f t="shared" si="84"/>
        <v>#DIV/0!</v>
      </c>
      <c r="AO103" s="73" t="e">
        <f t="shared" si="84"/>
        <v>#DIV/0!</v>
      </c>
      <c r="AP103" s="73" t="e">
        <f t="shared" si="84"/>
        <v>#DIV/0!</v>
      </c>
      <c r="AQ103" s="73" t="e">
        <f t="shared" si="84"/>
        <v>#DIV/0!</v>
      </c>
      <c r="AR103" s="73" t="e">
        <f t="shared" si="84"/>
        <v>#DIV/0!</v>
      </c>
      <c r="AS103" s="73" t="e">
        <f t="shared" si="84"/>
        <v>#DIV/0!</v>
      </c>
      <c r="AT103" s="73" t="e">
        <f t="shared" si="84"/>
        <v>#DIV/0!</v>
      </c>
      <c r="AU103" s="73" t="e">
        <f t="shared" si="84"/>
        <v>#DIV/0!</v>
      </c>
      <c r="AV103" s="73" t="e">
        <f t="shared" si="84"/>
        <v>#DIV/0!</v>
      </c>
      <c r="AW103" s="73" t="e">
        <f t="shared" si="84"/>
        <v>#DIV/0!</v>
      </c>
      <c r="AX103" s="73" t="e">
        <f t="shared" si="84"/>
        <v>#DIV/0!</v>
      </c>
      <c r="AY103" s="73" t="e">
        <f>AX100*EXP((AY$4-AX$4)*-LN(2)/8.091)</f>
        <v>#DIV/0!</v>
      </c>
      <c r="AZ103" s="73" t="e">
        <f>AY100*EXP((AZ$4-AY$4)*-LN(2)/8.091)</f>
        <v>#DIV/0!</v>
      </c>
      <c r="BA103" s="73" t="e">
        <f>AZ100*EXP((BA$4-AZ$4)*-LN(2)/8.091)</f>
        <v>#DIV/0!</v>
      </c>
      <c r="BB103" s="73" t="e">
        <f>BA100*EXP((BB$4-BA$4)*-LN(2)/8.091)</f>
        <v>#DIV/0!</v>
      </c>
      <c r="BC103" s="130"/>
    </row>
    <row r="104" spans="1:55" ht="14.25" customHeight="1">
      <c r="A104" s="113"/>
      <c r="E104" s="93"/>
      <c r="I104" s="93"/>
      <c r="J104" s="107"/>
      <c r="K104" s="105" t="s">
        <v>35</v>
      </c>
      <c r="L104" s="80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105" t="s">
        <v>35</v>
      </c>
      <c r="AH104" s="147"/>
      <c r="AI104" s="74" t="e">
        <f t="shared" ref="AI104:BB104" si="85">AI100-AI103</f>
        <v>#DIV/0!</v>
      </c>
      <c r="AJ104" s="74" t="e">
        <f t="shared" si="85"/>
        <v>#DIV/0!</v>
      </c>
      <c r="AK104" s="74" t="e">
        <f t="shared" si="85"/>
        <v>#DIV/0!</v>
      </c>
      <c r="AL104" s="74" t="e">
        <f t="shared" si="85"/>
        <v>#DIV/0!</v>
      </c>
      <c r="AM104" s="74" t="e">
        <f t="shared" si="85"/>
        <v>#DIV/0!</v>
      </c>
      <c r="AN104" s="74" t="e">
        <f t="shared" si="85"/>
        <v>#DIV/0!</v>
      </c>
      <c r="AO104" s="74" t="e">
        <f t="shared" si="85"/>
        <v>#DIV/0!</v>
      </c>
      <c r="AP104" s="74" t="e">
        <f t="shared" si="85"/>
        <v>#DIV/0!</v>
      </c>
      <c r="AQ104" s="74" t="e">
        <f t="shared" si="85"/>
        <v>#DIV/0!</v>
      </c>
      <c r="AR104" s="74" t="e">
        <f t="shared" si="85"/>
        <v>#DIV/0!</v>
      </c>
      <c r="AS104" s="74" t="e">
        <f t="shared" si="85"/>
        <v>#DIV/0!</v>
      </c>
      <c r="AT104" s="74" t="e">
        <f t="shared" si="85"/>
        <v>#DIV/0!</v>
      </c>
      <c r="AU104" s="74" t="e">
        <f t="shared" si="85"/>
        <v>#DIV/0!</v>
      </c>
      <c r="AV104" s="74" t="e">
        <f t="shared" si="85"/>
        <v>#DIV/0!</v>
      </c>
      <c r="AW104" s="74" t="e">
        <f t="shared" si="85"/>
        <v>#DIV/0!</v>
      </c>
      <c r="AX104" s="74" t="e">
        <f t="shared" si="85"/>
        <v>#DIV/0!</v>
      </c>
      <c r="AY104" s="74" t="e">
        <f t="shared" si="85"/>
        <v>#DIV/0!</v>
      </c>
      <c r="AZ104" s="74" t="e">
        <f t="shared" si="85"/>
        <v>#DIV/0!</v>
      </c>
      <c r="BA104" s="74" t="e">
        <f t="shared" si="85"/>
        <v>#DIV/0!</v>
      </c>
      <c r="BB104" s="74" t="e">
        <f t="shared" si="85"/>
        <v>#DIV/0!</v>
      </c>
      <c r="BC104" s="130"/>
    </row>
    <row r="105" spans="1:55" ht="14.25" customHeight="1">
      <c r="A105" s="113"/>
      <c r="E105" s="93"/>
      <c r="I105" s="93"/>
      <c r="J105" s="107"/>
      <c r="K105" s="105" t="s">
        <v>49</v>
      </c>
      <c r="L105" s="80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105" t="s">
        <v>49</v>
      </c>
      <c r="AH105" s="147" t="e">
        <f>AH100/AH$32</f>
        <v>#DIV/0!</v>
      </c>
      <c r="AI105" s="74" t="e">
        <f>AI100/AI$32</f>
        <v>#DIV/0!</v>
      </c>
      <c r="AJ105" s="74" t="e">
        <f>AJ100/AJ$32</f>
        <v>#DIV/0!</v>
      </c>
      <c r="AK105" s="74" t="e">
        <f t="shared" ref="AK105:AX105" si="86">AK100/AK$32</f>
        <v>#DIV/0!</v>
      </c>
      <c r="AL105" s="74" t="e">
        <f t="shared" si="86"/>
        <v>#DIV/0!</v>
      </c>
      <c r="AM105" s="74" t="e">
        <f t="shared" si="86"/>
        <v>#DIV/0!</v>
      </c>
      <c r="AN105" s="74" t="e">
        <f t="shared" si="86"/>
        <v>#DIV/0!</v>
      </c>
      <c r="AO105" s="74" t="e">
        <f t="shared" si="86"/>
        <v>#DIV/0!</v>
      </c>
      <c r="AP105" s="74" t="e">
        <f t="shared" si="86"/>
        <v>#DIV/0!</v>
      </c>
      <c r="AQ105" s="74" t="e">
        <f t="shared" si="86"/>
        <v>#DIV/0!</v>
      </c>
      <c r="AR105" s="74" t="e">
        <f t="shared" si="86"/>
        <v>#DIV/0!</v>
      </c>
      <c r="AS105" s="74" t="e">
        <f t="shared" si="86"/>
        <v>#DIV/0!</v>
      </c>
      <c r="AT105" s="74" t="e">
        <f t="shared" si="86"/>
        <v>#DIV/0!</v>
      </c>
      <c r="AU105" s="74" t="e">
        <f t="shared" si="86"/>
        <v>#DIV/0!</v>
      </c>
      <c r="AV105" s="74" t="e">
        <f t="shared" si="86"/>
        <v>#DIV/0!</v>
      </c>
      <c r="AW105" s="74" t="e">
        <f t="shared" si="86"/>
        <v>#DIV/0!</v>
      </c>
      <c r="AX105" s="74" t="e">
        <f t="shared" si="86"/>
        <v>#DIV/0!</v>
      </c>
      <c r="AY105" s="74" t="e">
        <f>AY100/AY$32</f>
        <v>#DIV/0!</v>
      </c>
      <c r="AZ105" s="74" t="e">
        <f>AZ100/AZ$32</f>
        <v>#DIV/0!</v>
      </c>
      <c r="BA105" s="74" t="e">
        <f>BA100/BA$32</f>
        <v>#DIV/0!</v>
      </c>
      <c r="BB105" s="74" t="e">
        <f>BB100/BB$32</f>
        <v>#DIV/0!</v>
      </c>
      <c r="BC105" s="130"/>
    </row>
    <row r="106" spans="1:55" ht="15">
      <c r="A106" s="113"/>
      <c r="E106" s="52"/>
      <c r="I106" s="52"/>
      <c r="K106" s="133"/>
      <c r="AG106" s="132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148"/>
    </row>
  </sheetData>
  <autoFilter ref="A4:BB30" xr:uid="{00000000-0009-0000-0000-000002000000}">
    <sortState xmlns:xlrd2="http://schemas.microsoft.com/office/spreadsheetml/2017/richdata2" ref="A5:AX30">
      <sortCondition ref="B4:B30"/>
    </sortState>
  </autoFilter>
  <mergeCells count="4">
    <mergeCell ref="F2:H2"/>
    <mergeCell ref="I34:I35"/>
    <mergeCell ref="I32:K32"/>
    <mergeCell ref="I2:J2"/>
  </mergeCells>
  <dataValidations count="1">
    <dataValidation type="list" allowBlank="1" showInputMessage="1" showErrorMessage="1" sqref="E5:E30" xr:uid="{00000000-0002-0000-0200-000000000000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'FIG6 Groups'!$C$6:$C$21</xm:f>
          </x14:formula1>
          <xm:sqref>E37:E106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99"/>
  <sheetViews>
    <sheetView showGridLines="0" zoomScaleNormal="100" workbookViewId="0">
      <pane xSplit="8" ySplit="4" topLeftCell="I5" activePane="bottomRight" state="frozen"/>
      <selection activeCell="X3" sqref="X3"/>
      <selection pane="topRight" activeCell="X3" sqref="X3"/>
      <selection pane="bottomLeft" activeCell="X3" sqref="X3"/>
      <selection pane="bottomRight"/>
    </sheetView>
  </sheetViews>
  <sheetFormatPr defaultRowHeight="12.75" outlineLevelCol="1"/>
  <cols>
    <col min="1" max="1" width="9.85546875" style="54" bestFit="1" customWidth="1"/>
    <col min="2" max="2" width="9.140625" style="44"/>
    <col min="3" max="3" width="17.28515625" style="55" hidden="1" customWidth="1" outlineLevel="1"/>
    <col min="4" max="4" width="19" style="44" hidden="1" customWidth="1" outlineLevel="1"/>
    <col min="5" max="5" width="17.5703125" style="53" customWidth="1" collapsed="1"/>
    <col min="6" max="6" width="14.7109375" style="56" customWidth="1"/>
    <col min="7" max="7" width="12.7109375" style="79" hidden="1" customWidth="1" outlineLevel="1"/>
    <col min="8" max="8" width="12.85546875" style="56" customWidth="1" collapsed="1"/>
    <col min="9" max="9" width="11.85546875" style="44" customWidth="1"/>
    <col min="10" max="11" width="8.5703125" style="44" customWidth="1"/>
    <col min="12" max="53" width="8.5703125" style="44" customWidth="1" outlineLevel="1"/>
    <col min="54" max="16384" width="9.140625" style="53"/>
  </cols>
  <sheetData>
    <row r="1" spans="1:54" s="7" customFormat="1" ht="25.5">
      <c r="A1" s="6" t="s">
        <v>83</v>
      </c>
      <c r="C1" s="8"/>
      <c r="D1" s="9"/>
      <c r="F1" s="10"/>
      <c r="G1" s="215"/>
      <c r="H1" s="1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4" s="50" customFormat="1" ht="15.75" customHeight="1">
      <c r="A2" s="138" t="s">
        <v>36</v>
      </c>
      <c r="B2" s="14"/>
      <c r="C2" s="15"/>
      <c r="D2" s="14"/>
      <c r="E2" s="16"/>
      <c r="F2" s="250" t="s">
        <v>12</v>
      </c>
      <c r="G2" s="251"/>
      <c r="H2" s="232" t="s">
        <v>0</v>
      </c>
      <c r="I2" s="17"/>
      <c r="J2" s="138" t="s">
        <v>37</v>
      </c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6"/>
      <c r="BB2" s="49"/>
    </row>
    <row r="3" spans="1:54" s="64" customFormat="1" ht="15.75">
      <c r="A3" s="59"/>
      <c r="B3" s="60"/>
      <c r="C3" s="61"/>
      <c r="D3" s="60"/>
      <c r="E3" s="62"/>
      <c r="F3" s="219"/>
      <c r="G3" s="233"/>
      <c r="H3" s="206"/>
      <c r="I3" s="190" t="s">
        <v>13</v>
      </c>
      <c r="J3" s="97">
        <v>42861</v>
      </c>
      <c r="K3" s="97">
        <v>42862</v>
      </c>
      <c r="L3" s="97">
        <v>42863</v>
      </c>
      <c r="M3" s="97">
        <v>42865</v>
      </c>
      <c r="N3" s="97">
        <v>42868</v>
      </c>
      <c r="O3" s="97">
        <v>42870</v>
      </c>
      <c r="P3" s="97">
        <v>42872</v>
      </c>
      <c r="Q3" s="97">
        <v>42877</v>
      </c>
      <c r="R3" s="97">
        <v>42879</v>
      </c>
      <c r="S3" s="97">
        <v>42881</v>
      </c>
      <c r="T3" s="97">
        <v>42884</v>
      </c>
      <c r="U3" s="97">
        <v>42886</v>
      </c>
      <c r="V3" s="97">
        <v>42888</v>
      </c>
      <c r="W3" s="97">
        <v>42891</v>
      </c>
      <c r="X3" s="97">
        <v>42893</v>
      </c>
      <c r="Y3" s="97">
        <v>42895</v>
      </c>
      <c r="Z3" s="97">
        <v>42898</v>
      </c>
      <c r="AA3" s="97">
        <v>42901</v>
      </c>
      <c r="AB3" s="97">
        <v>42903</v>
      </c>
      <c r="AC3" s="97">
        <v>42906</v>
      </c>
      <c r="AD3" s="97">
        <v>42909</v>
      </c>
      <c r="AE3" s="97">
        <v>42912</v>
      </c>
      <c r="AF3" s="97">
        <v>42914</v>
      </c>
      <c r="AG3" s="97">
        <v>42916</v>
      </c>
      <c r="AH3" s="97">
        <v>42919</v>
      </c>
      <c r="AI3" s="97">
        <v>42921</v>
      </c>
      <c r="AJ3" s="97">
        <v>42923</v>
      </c>
      <c r="AK3" s="97">
        <v>42925</v>
      </c>
      <c r="AL3" s="97">
        <v>42927</v>
      </c>
      <c r="AM3" s="97">
        <v>42930</v>
      </c>
      <c r="AN3" s="97">
        <v>42932</v>
      </c>
      <c r="AO3" s="97">
        <v>42934</v>
      </c>
      <c r="AP3" s="97">
        <v>42937</v>
      </c>
      <c r="AQ3" s="97">
        <v>42941</v>
      </c>
      <c r="AR3" s="97">
        <v>42944</v>
      </c>
      <c r="AS3" s="97">
        <v>42947</v>
      </c>
      <c r="AT3" s="97">
        <v>42953</v>
      </c>
      <c r="AU3" s="97">
        <v>42955</v>
      </c>
      <c r="AV3" s="97">
        <v>42959</v>
      </c>
      <c r="AW3" s="97">
        <v>42962</v>
      </c>
      <c r="AX3" s="97">
        <v>42965</v>
      </c>
      <c r="AY3" s="97">
        <v>42968</v>
      </c>
      <c r="AZ3" s="97"/>
      <c r="BA3" s="97"/>
      <c r="BB3" s="63"/>
    </row>
    <row r="4" spans="1:54" s="52" customFormat="1" ht="15.75" customHeight="1">
      <c r="A4" s="18" t="s">
        <v>5</v>
      </c>
      <c r="B4" s="19" t="s">
        <v>6</v>
      </c>
      <c r="C4" s="20" t="s">
        <v>7</v>
      </c>
      <c r="D4" s="18" t="s">
        <v>14</v>
      </c>
      <c r="E4" s="21" t="s">
        <v>10</v>
      </c>
      <c r="F4" s="22" t="s">
        <v>1</v>
      </c>
      <c r="G4" s="226" t="s">
        <v>69</v>
      </c>
      <c r="H4" s="22" t="s">
        <v>1</v>
      </c>
      <c r="I4" s="202" t="s">
        <v>8</v>
      </c>
      <c r="J4" s="185">
        <f>IF(ISBLANK(J3)=TRUE,"",J3-$H$5)</f>
        <v>0</v>
      </c>
      <c r="K4" s="185">
        <f t="shared" ref="K4:AY4" si="0">IF(ISBLANK(K3)=TRUE,"",K3-$H$5)</f>
        <v>1</v>
      </c>
      <c r="L4" s="185">
        <f t="shared" si="0"/>
        <v>2</v>
      </c>
      <c r="M4" s="185">
        <f t="shared" si="0"/>
        <v>4</v>
      </c>
      <c r="N4" s="185">
        <f t="shared" si="0"/>
        <v>7</v>
      </c>
      <c r="O4" s="185">
        <f t="shared" si="0"/>
        <v>9</v>
      </c>
      <c r="P4" s="185">
        <f t="shared" si="0"/>
        <v>11</v>
      </c>
      <c r="Q4" s="185">
        <f t="shared" si="0"/>
        <v>16</v>
      </c>
      <c r="R4" s="185">
        <f t="shared" si="0"/>
        <v>18</v>
      </c>
      <c r="S4" s="185">
        <f t="shared" si="0"/>
        <v>20</v>
      </c>
      <c r="T4" s="185">
        <f t="shared" si="0"/>
        <v>23</v>
      </c>
      <c r="U4" s="185">
        <f t="shared" si="0"/>
        <v>25</v>
      </c>
      <c r="V4" s="185">
        <f t="shared" si="0"/>
        <v>27</v>
      </c>
      <c r="W4" s="185">
        <f t="shared" si="0"/>
        <v>30</v>
      </c>
      <c r="X4" s="185">
        <f t="shared" si="0"/>
        <v>32</v>
      </c>
      <c r="Y4" s="185">
        <f t="shared" si="0"/>
        <v>34</v>
      </c>
      <c r="Z4" s="185">
        <f t="shared" si="0"/>
        <v>37</v>
      </c>
      <c r="AA4" s="185">
        <f t="shared" si="0"/>
        <v>40</v>
      </c>
      <c r="AB4" s="185">
        <f t="shared" si="0"/>
        <v>42</v>
      </c>
      <c r="AC4" s="185">
        <f t="shared" si="0"/>
        <v>45</v>
      </c>
      <c r="AD4" s="185">
        <f t="shared" si="0"/>
        <v>48</v>
      </c>
      <c r="AE4" s="185">
        <f t="shared" si="0"/>
        <v>51</v>
      </c>
      <c r="AF4" s="185">
        <f t="shared" si="0"/>
        <v>53</v>
      </c>
      <c r="AG4" s="185">
        <f t="shared" si="0"/>
        <v>55</v>
      </c>
      <c r="AH4" s="185">
        <f t="shared" si="0"/>
        <v>58</v>
      </c>
      <c r="AI4" s="185">
        <f t="shared" si="0"/>
        <v>60</v>
      </c>
      <c r="AJ4" s="185">
        <f t="shared" si="0"/>
        <v>62</v>
      </c>
      <c r="AK4" s="185">
        <f t="shared" si="0"/>
        <v>64</v>
      </c>
      <c r="AL4" s="185">
        <f t="shared" si="0"/>
        <v>66</v>
      </c>
      <c r="AM4" s="185">
        <f t="shared" si="0"/>
        <v>69</v>
      </c>
      <c r="AN4" s="185">
        <f t="shared" si="0"/>
        <v>71</v>
      </c>
      <c r="AO4" s="185">
        <f t="shared" si="0"/>
        <v>73</v>
      </c>
      <c r="AP4" s="185">
        <f t="shared" si="0"/>
        <v>76</v>
      </c>
      <c r="AQ4" s="185">
        <f t="shared" si="0"/>
        <v>80</v>
      </c>
      <c r="AR4" s="185">
        <f t="shared" si="0"/>
        <v>83</v>
      </c>
      <c r="AS4" s="185">
        <f t="shared" si="0"/>
        <v>86</v>
      </c>
      <c r="AT4" s="185">
        <f t="shared" si="0"/>
        <v>92</v>
      </c>
      <c r="AU4" s="185">
        <f t="shared" si="0"/>
        <v>94</v>
      </c>
      <c r="AV4" s="185">
        <f t="shared" si="0"/>
        <v>98</v>
      </c>
      <c r="AW4" s="185">
        <f t="shared" si="0"/>
        <v>101</v>
      </c>
      <c r="AX4" s="185">
        <f t="shared" si="0"/>
        <v>104</v>
      </c>
      <c r="AY4" s="185">
        <f t="shared" si="0"/>
        <v>107</v>
      </c>
      <c r="AZ4" s="185" t="str">
        <f>IF(ISBLANK(AZ3)=TRUE,"",AZ3-#REF!)</f>
        <v/>
      </c>
      <c r="BA4" s="185" t="str">
        <f>IF(ISBLANK(BA3)=TRUE,"",BA3-#REF!)</f>
        <v/>
      </c>
      <c r="BB4" s="51"/>
    </row>
    <row r="5" spans="1:54">
      <c r="A5" s="37">
        <v>1066032</v>
      </c>
      <c r="B5" s="1">
        <v>55</v>
      </c>
      <c r="C5" s="27"/>
      <c r="D5" s="26"/>
      <c r="E5" s="34" t="s">
        <v>62</v>
      </c>
      <c r="F5" s="29">
        <v>42850</v>
      </c>
      <c r="G5" s="83" t="s">
        <v>67</v>
      </c>
      <c r="H5" s="29">
        <v>42861</v>
      </c>
      <c r="I5" s="121"/>
      <c r="J5" s="78" t="s">
        <v>72</v>
      </c>
      <c r="K5" s="78" t="s">
        <v>72</v>
      </c>
      <c r="L5" s="78" t="s">
        <v>72</v>
      </c>
      <c r="M5" s="78" t="s">
        <v>72</v>
      </c>
      <c r="N5" s="78" t="s">
        <v>72</v>
      </c>
      <c r="O5" s="78" t="s">
        <v>72</v>
      </c>
      <c r="P5" s="78" t="s">
        <v>72</v>
      </c>
      <c r="Q5" s="78" t="s">
        <v>72</v>
      </c>
      <c r="R5" s="78" t="s">
        <v>72</v>
      </c>
      <c r="S5" s="78" t="s">
        <v>72</v>
      </c>
      <c r="T5" s="78" t="s">
        <v>72</v>
      </c>
      <c r="U5" s="78" t="s">
        <v>72</v>
      </c>
      <c r="V5" s="78" t="s">
        <v>72</v>
      </c>
      <c r="W5" s="78" t="s">
        <v>72</v>
      </c>
      <c r="X5" s="78" t="s">
        <v>72</v>
      </c>
      <c r="Y5" s="78" t="s">
        <v>72</v>
      </c>
      <c r="Z5" s="78" t="s">
        <v>72</v>
      </c>
      <c r="AA5" s="83" t="s">
        <v>74</v>
      </c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3"/>
    </row>
    <row r="6" spans="1:54">
      <c r="A6" s="37">
        <v>1066023</v>
      </c>
      <c r="B6" s="1">
        <v>61</v>
      </c>
      <c r="C6" s="27"/>
      <c r="D6" s="26"/>
      <c r="E6" s="34" t="s">
        <v>62</v>
      </c>
      <c r="F6" s="29">
        <v>42850</v>
      </c>
      <c r="G6" s="83" t="s">
        <v>67</v>
      </c>
      <c r="H6" s="29">
        <v>42861</v>
      </c>
      <c r="I6" s="121"/>
      <c r="J6" s="78" t="s">
        <v>72</v>
      </c>
      <c r="K6" s="78" t="s">
        <v>72</v>
      </c>
      <c r="L6" s="78" t="s">
        <v>72</v>
      </c>
      <c r="M6" s="78" t="s">
        <v>72</v>
      </c>
      <c r="N6" s="78" t="s">
        <v>72</v>
      </c>
      <c r="O6" s="78" t="s">
        <v>72</v>
      </c>
      <c r="P6" s="78" t="s">
        <v>72</v>
      </c>
      <c r="Q6" s="78" t="s">
        <v>72</v>
      </c>
      <c r="R6" s="78" t="s">
        <v>72</v>
      </c>
      <c r="S6" s="78" t="s">
        <v>72</v>
      </c>
      <c r="T6" s="78" t="s">
        <v>72</v>
      </c>
      <c r="U6" s="78" t="s">
        <v>72</v>
      </c>
      <c r="V6" s="78" t="s">
        <v>72</v>
      </c>
      <c r="W6" s="78" t="s">
        <v>72</v>
      </c>
      <c r="X6" s="78" t="s">
        <v>72</v>
      </c>
      <c r="Y6" s="78" t="s">
        <v>72</v>
      </c>
      <c r="Z6" s="83" t="s">
        <v>74</v>
      </c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3"/>
    </row>
    <row r="7" spans="1:54">
      <c r="A7" s="37">
        <v>1066023</v>
      </c>
      <c r="B7" s="1">
        <v>62</v>
      </c>
      <c r="C7" s="27"/>
      <c r="D7" s="26"/>
      <c r="E7" s="34" t="s">
        <v>63</v>
      </c>
      <c r="F7" s="29">
        <v>42850</v>
      </c>
      <c r="G7" s="83" t="s">
        <v>67</v>
      </c>
      <c r="H7" s="29">
        <v>42861</v>
      </c>
      <c r="I7" s="121"/>
      <c r="J7" s="78" t="s">
        <v>72</v>
      </c>
      <c r="K7" s="78" t="s">
        <v>72</v>
      </c>
      <c r="L7" s="78" t="s">
        <v>72</v>
      </c>
      <c r="M7" s="78" t="s">
        <v>72</v>
      </c>
      <c r="N7" s="78" t="s">
        <v>72</v>
      </c>
      <c r="O7" s="78" t="s">
        <v>72</v>
      </c>
      <c r="P7" s="78" t="s">
        <v>72</v>
      </c>
      <c r="Q7" s="78" t="s">
        <v>72</v>
      </c>
      <c r="R7" s="78" t="s">
        <v>72</v>
      </c>
      <c r="S7" s="78" t="s">
        <v>72</v>
      </c>
      <c r="T7" s="78" t="s">
        <v>72</v>
      </c>
      <c r="U7" s="78" t="s">
        <v>72</v>
      </c>
      <c r="V7" s="78" t="s">
        <v>72</v>
      </c>
      <c r="W7" s="78" t="s">
        <v>72</v>
      </c>
      <c r="X7" s="78" t="s">
        <v>72</v>
      </c>
      <c r="Y7" s="78" t="s">
        <v>72</v>
      </c>
      <c r="Z7" s="78" t="s">
        <v>72</v>
      </c>
      <c r="AA7" s="78" t="s">
        <v>72</v>
      </c>
      <c r="AB7" s="78" t="s">
        <v>72</v>
      </c>
      <c r="AC7" s="83" t="s">
        <v>72</v>
      </c>
      <c r="AD7" s="83" t="s">
        <v>72</v>
      </c>
      <c r="AE7" s="83" t="s">
        <v>72</v>
      </c>
      <c r="AF7" s="83" t="s">
        <v>72</v>
      </c>
      <c r="AG7" s="83" t="s">
        <v>72</v>
      </c>
      <c r="AH7" s="83" t="s">
        <v>72</v>
      </c>
      <c r="AI7" s="83" t="s">
        <v>72</v>
      </c>
      <c r="AJ7" s="83" t="s">
        <v>72</v>
      </c>
      <c r="AK7" s="83" t="s">
        <v>72</v>
      </c>
      <c r="AL7" s="83" t="s">
        <v>72</v>
      </c>
      <c r="AM7" s="83" t="s">
        <v>72</v>
      </c>
      <c r="AN7" s="83" t="s">
        <v>72</v>
      </c>
      <c r="AO7" s="83" t="s">
        <v>72</v>
      </c>
      <c r="AP7" s="83" t="s">
        <v>72</v>
      </c>
      <c r="AQ7" s="83" t="s">
        <v>72</v>
      </c>
      <c r="AR7" s="83" t="s">
        <v>72</v>
      </c>
      <c r="AS7" s="83" t="s">
        <v>72</v>
      </c>
      <c r="AT7" s="83" t="s">
        <v>72</v>
      </c>
      <c r="AU7" s="83" t="s">
        <v>72</v>
      </c>
      <c r="AV7" s="83" t="s">
        <v>74</v>
      </c>
      <c r="AW7" s="83"/>
      <c r="AX7" s="83"/>
      <c r="AY7" s="83"/>
      <c r="AZ7" s="83"/>
      <c r="BA7" s="83"/>
      <c r="BB7" s="3"/>
    </row>
    <row r="8" spans="1:54">
      <c r="A8" s="37">
        <v>1066023</v>
      </c>
      <c r="B8" s="1">
        <v>63</v>
      </c>
      <c r="C8" s="27"/>
      <c r="D8" s="26"/>
      <c r="E8" s="34" t="s">
        <v>63</v>
      </c>
      <c r="F8" s="29">
        <v>42850</v>
      </c>
      <c r="G8" s="83" t="s">
        <v>67</v>
      </c>
      <c r="H8" s="29">
        <v>42861</v>
      </c>
      <c r="I8" s="121"/>
      <c r="J8" s="78" t="s">
        <v>72</v>
      </c>
      <c r="K8" s="78" t="s">
        <v>72</v>
      </c>
      <c r="L8" s="78" t="s">
        <v>72</v>
      </c>
      <c r="M8" s="78" t="s">
        <v>72</v>
      </c>
      <c r="N8" s="78" t="s">
        <v>72</v>
      </c>
      <c r="O8" s="78" t="s">
        <v>72</v>
      </c>
      <c r="P8" s="78" t="s">
        <v>72</v>
      </c>
      <c r="Q8" s="78" t="s">
        <v>72</v>
      </c>
      <c r="R8" s="78" t="s">
        <v>72</v>
      </c>
      <c r="S8" s="78" t="s">
        <v>72</v>
      </c>
      <c r="T8" s="78" t="s">
        <v>72</v>
      </c>
      <c r="U8" s="78" t="s">
        <v>72</v>
      </c>
      <c r="V8" s="78" t="s">
        <v>72</v>
      </c>
      <c r="W8" s="78" t="s">
        <v>72</v>
      </c>
      <c r="X8" s="78" t="s">
        <v>72</v>
      </c>
      <c r="Y8" s="78" t="s">
        <v>72</v>
      </c>
      <c r="Z8" s="78" t="s">
        <v>72</v>
      </c>
      <c r="AA8" s="78" t="s">
        <v>72</v>
      </c>
      <c r="AB8" s="78" t="s">
        <v>72</v>
      </c>
      <c r="AC8" s="83" t="s">
        <v>72</v>
      </c>
      <c r="AD8" s="83" t="s">
        <v>72</v>
      </c>
      <c r="AE8" s="83" t="s">
        <v>72</v>
      </c>
      <c r="AF8" s="83" t="s">
        <v>72</v>
      </c>
      <c r="AG8" s="83" t="s">
        <v>72</v>
      </c>
      <c r="AH8" s="83" t="s">
        <v>72</v>
      </c>
      <c r="AI8" s="83" t="s">
        <v>72</v>
      </c>
      <c r="AJ8" s="83" t="s">
        <v>72</v>
      </c>
      <c r="AK8" s="83" t="s">
        <v>72</v>
      </c>
      <c r="AL8" s="83" t="s">
        <v>72</v>
      </c>
      <c r="AM8" s="83" t="s">
        <v>72</v>
      </c>
      <c r="AN8" s="83" t="s">
        <v>72</v>
      </c>
      <c r="AO8" s="83" t="s">
        <v>72</v>
      </c>
      <c r="AP8" s="83" t="s">
        <v>72</v>
      </c>
      <c r="AQ8" s="83" t="s">
        <v>72</v>
      </c>
      <c r="AR8" s="83" t="s">
        <v>72</v>
      </c>
      <c r="AS8" s="83" t="s">
        <v>72</v>
      </c>
      <c r="AT8" s="83" t="s">
        <v>72</v>
      </c>
      <c r="AU8" s="83" t="s">
        <v>72</v>
      </c>
      <c r="AV8" s="83" t="s">
        <v>72</v>
      </c>
      <c r="AW8" s="83" t="s">
        <v>72</v>
      </c>
      <c r="AX8" s="83" t="s">
        <v>72</v>
      </c>
      <c r="AY8" s="83" t="s">
        <v>74</v>
      </c>
      <c r="AZ8" s="83"/>
      <c r="BA8" s="83"/>
      <c r="BB8" s="3"/>
    </row>
    <row r="9" spans="1:54">
      <c r="A9" s="37">
        <v>1066023</v>
      </c>
      <c r="B9" s="1">
        <v>64</v>
      </c>
      <c r="C9" s="27"/>
      <c r="D9" s="26"/>
      <c r="E9" s="34" t="s">
        <v>63</v>
      </c>
      <c r="F9" s="29">
        <v>42850</v>
      </c>
      <c r="G9" s="83" t="s">
        <v>67</v>
      </c>
      <c r="H9" s="29">
        <v>42861</v>
      </c>
      <c r="I9" s="121"/>
      <c r="J9" s="78" t="s">
        <v>72</v>
      </c>
      <c r="K9" s="78" t="s">
        <v>72</v>
      </c>
      <c r="L9" s="78" t="s">
        <v>72</v>
      </c>
      <c r="M9" s="78" t="s">
        <v>72</v>
      </c>
      <c r="N9" s="78" t="s">
        <v>72</v>
      </c>
      <c r="O9" s="78" t="s">
        <v>72</v>
      </c>
      <c r="P9" s="78" t="s">
        <v>72</v>
      </c>
      <c r="Q9" s="78" t="s">
        <v>72</v>
      </c>
      <c r="R9" s="78" t="s">
        <v>72</v>
      </c>
      <c r="S9" s="78" t="s">
        <v>72</v>
      </c>
      <c r="T9" s="78" t="s">
        <v>72</v>
      </c>
      <c r="U9" s="78" t="s">
        <v>72</v>
      </c>
      <c r="V9" s="78" t="s">
        <v>72</v>
      </c>
      <c r="W9" s="78" t="s">
        <v>72</v>
      </c>
      <c r="X9" s="78" t="s">
        <v>72</v>
      </c>
      <c r="Y9" s="78" t="s">
        <v>72</v>
      </c>
      <c r="Z9" s="78" t="s">
        <v>72</v>
      </c>
      <c r="AA9" s="78" t="s">
        <v>72</v>
      </c>
      <c r="AB9" s="78" t="s">
        <v>72</v>
      </c>
      <c r="AC9" s="83" t="s">
        <v>72</v>
      </c>
      <c r="AD9" s="83" t="s">
        <v>72</v>
      </c>
      <c r="AE9" s="83" t="s">
        <v>72</v>
      </c>
      <c r="AF9" s="83" t="s">
        <v>72</v>
      </c>
      <c r="AG9" s="83" t="s">
        <v>72</v>
      </c>
      <c r="AH9" s="83" t="s">
        <v>72</v>
      </c>
      <c r="AI9" s="83" t="s">
        <v>72</v>
      </c>
      <c r="AJ9" s="83" t="s">
        <v>72</v>
      </c>
      <c r="AK9" s="83" t="s">
        <v>72</v>
      </c>
      <c r="AL9" s="83" t="s">
        <v>72</v>
      </c>
      <c r="AM9" s="83" t="s">
        <v>72</v>
      </c>
      <c r="AN9" s="83" t="s">
        <v>74</v>
      </c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3"/>
    </row>
    <row r="10" spans="1:54">
      <c r="A10" s="37">
        <v>1066023</v>
      </c>
      <c r="B10" s="1">
        <v>65</v>
      </c>
      <c r="C10" s="27"/>
      <c r="D10" s="26"/>
      <c r="E10" s="34" t="s">
        <v>62</v>
      </c>
      <c r="F10" s="29">
        <v>42850</v>
      </c>
      <c r="G10" s="83" t="s">
        <v>67</v>
      </c>
      <c r="H10" s="29">
        <v>42861</v>
      </c>
      <c r="I10" s="121"/>
      <c r="J10" s="78" t="s">
        <v>72</v>
      </c>
      <c r="K10" s="78" t="s">
        <v>72</v>
      </c>
      <c r="L10" s="78" t="s">
        <v>72</v>
      </c>
      <c r="M10" s="78" t="s">
        <v>72</v>
      </c>
      <c r="N10" s="78" t="s">
        <v>72</v>
      </c>
      <c r="O10" s="78" t="s">
        <v>72</v>
      </c>
      <c r="P10" s="78" t="s">
        <v>72</v>
      </c>
      <c r="Q10" s="78" t="s">
        <v>72</v>
      </c>
      <c r="R10" s="78" t="s">
        <v>72</v>
      </c>
      <c r="S10" s="78" t="s">
        <v>72</v>
      </c>
      <c r="T10" s="78" t="s">
        <v>72</v>
      </c>
      <c r="U10" s="78" t="s">
        <v>72</v>
      </c>
      <c r="V10" s="78" t="s">
        <v>72</v>
      </c>
      <c r="W10" s="78" t="s">
        <v>72</v>
      </c>
      <c r="X10" s="78" t="s">
        <v>72</v>
      </c>
      <c r="Y10" s="78" t="s">
        <v>72</v>
      </c>
      <c r="Z10" s="78" t="s">
        <v>72</v>
      </c>
      <c r="AA10" s="78" t="s">
        <v>72</v>
      </c>
      <c r="AB10" s="78" t="s">
        <v>72</v>
      </c>
      <c r="AC10" s="83" t="s">
        <v>72</v>
      </c>
      <c r="AD10" s="83" t="s">
        <v>74</v>
      </c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3"/>
    </row>
    <row r="11" spans="1:54">
      <c r="A11" s="37">
        <v>1066024</v>
      </c>
      <c r="B11" s="1">
        <v>71</v>
      </c>
      <c r="C11" s="27"/>
      <c r="D11" s="26"/>
      <c r="E11" s="34" t="s">
        <v>62</v>
      </c>
      <c r="F11" s="29">
        <v>42850</v>
      </c>
      <c r="G11" s="83" t="s">
        <v>67</v>
      </c>
      <c r="H11" s="29">
        <v>42861</v>
      </c>
      <c r="I11" s="121"/>
      <c r="J11" s="78" t="s">
        <v>72</v>
      </c>
      <c r="K11" s="78" t="s">
        <v>72</v>
      </c>
      <c r="L11" s="78" t="s">
        <v>72</v>
      </c>
      <c r="M11" s="78" t="s">
        <v>72</v>
      </c>
      <c r="N11" s="78" t="s">
        <v>72</v>
      </c>
      <c r="O11" s="78" t="s">
        <v>72</v>
      </c>
      <c r="P11" s="78" t="s">
        <v>72</v>
      </c>
      <c r="Q11" s="78" t="s">
        <v>72</v>
      </c>
      <c r="R11" s="78" t="s">
        <v>72</v>
      </c>
      <c r="S11" s="78" t="s">
        <v>72</v>
      </c>
      <c r="T11" s="78" t="s">
        <v>72</v>
      </c>
      <c r="U11" s="78" t="s">
        <v>72</v>
      </c>
      <c r="V11" s="78" t="s">
        <v>72</v>
      </c>
      <c r="W11" s="78" t="s">
        <v>72</v>
      </c>
      <c r="X11" s="78" t="s">
        <v>72</v>
      </c>
      <c r="Y11" s="78" t="s">
        <v>72</v>
      </c>
      <c r="Z11" s="78" t="s">
        <v>72</v>
      </c>
      <c r="AA11" s="78" t="s">
        <v>72</v>
      </c>
      <c r="AB11" s="83" t="s">
        <v>74</v>
      </c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3"/>
    </row>
    <row r="12" spans="1:54">
      <c r="A12" s="37">
        <v>1066024</v>
      </c>
      <c r="B12" s="1">
        <v>72</v>
      </c>
      <c r="C12" s="27"/>
      <c r="D12" s="26"/>
      <c r="E12" s="34" t="s">
        <v>62</v>
      </c>
      <c r="F12" s="29">
        <v>42850</v>
      </c>
      <c r="G12" s="83" t="s">
        <v>67</v>
      </c>
      <c r="H12" s="29">
        <v>42861</v>
      </c>
      <c r="I12" s="121"/>
      <c r="J12" s="78" t="s">
        <v>72</v>
      </c>
      <c r="K12" s="78" t="s">
        <v>72</v>
      </c>
      <c r="L12" s="78" t="s">
        <v>72</v>
      </c>
      <c r="M12" s="78" t="s">
        <v>72</v>
      </c>
      <c r="N12" s="78" t="s">
        <v>72</v>
      </c>
      <c r="O12" s="78" t="s">
        <v>72</v>
      </c>
      <c r="P12" s="78" t="s">
        <v>72</v>
      </c>
      <c r="Q12" s="78" t="s">
        <v>72</v>
      </c>
      <c r="R12" s="78" t="s">
        <v>72</v>
      </c>
      <c r="S12" s="78" t="s">
        <v>72</v>
      </c>
      <c r="T12" s="78" t="s">
        <v>72</v>
      </c>
      <c r="U12" s="78" t="s">
        <v>72</v>
      </c>
      <c r="V12" s="78" t="s">
        <v>72</v>
      </c>
      <c r="W12" s="78" t="s">
        <v>72</v>
      </c>
      <c r="X12" s="78" t="s">
        <v>72</v>
      </c>
      <c r="Y12" s="78" t="s">
        <v>72</v>
      </c>
      <c r="Z12" s="78" t="s">
        <v>72</v>
      </c>
      <c r="AA12" s="78" t="s">
        <v>72</v>
      </c>
      <c r="AB12" s="78" t="s">
        <v>72</v>
      </c>
      <c r="AC12" s="83" t="s">
        <v>74</v>
      </c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3"/>
    </row>
    <row r="13" spans="1:54">
      <c r="A13" s="37">
        <v>1066024</v>
      </c>
      <c r="B13" s="1">
        <v>73</v>
      </c>
      <c r="C13" s="27"/>
      <c r="D13" s="26"/>
      <c r="E13" s="34" t="s">
        <v>63</v>
      </c>
      <c r="F13" s="29">
        <v>42850</v>
      </c>
      <c r="G13" s="83" t="s">
        <v>67</v>
      </c>
      <c r="H13" s="29">
        <v>42861</v>
      </c>
      <c r="I13" s="121"/>
      <c r="J13" s="78" t="s">
        <v>72</v>
      </c>
      <c r="K13" s="78" t="s">
        <v>72</v>
      </c>
      <c r="L13" s="78" t="s">
        <v>72</v>
      </c>
      <c r="M13" s="78" t="s">
        <v>72</v>
      </c>
      <c r="N13" s="78" t="s">
        <v>72</v>
      </c>
      <c r="O13" s="78" t="s">
        <v>72</v>
      </c>
      <c r="P13" s="78" t="s">
        <v>72</v>
      </c>
      <c r="Q13" s="78" t="s">
        <v>72</v>
      </c>
      <c r="R13" s="78" t="s">
        <v>72</v>
      </c>
      <c r="S13" s="78" t="s">
        <v>72</v>
      </c>
      <c r="T13" s="78" t="s">
        <v>72</v>
      </c>
      <c r="U13" s="78" t="s">
        <v>72</v>
      </c>
      <c r="V13" s="78" t="s">
        <v>72</v>
      </c>
      <c r="W13" s="78" t="s">
        <v>72</v>
      </c>
      <c r="X13" s="78" t="s">
        <v>72</v>
      </c>
      <c r="Y13" s="78" t="s">
        <v>72</v>
      </c>
      <c r="Z13" s="78" t="s">
        <v>72</v>
      </c>
      <c r="AA13" s="78" t="s">
        <v>72</v>
      </c>
      <c r="AB13" s="78" t="s">
        <v>72</v>
      </c>
      <c r="AC13" s="83" t="s">
        <v>72</v>
      </c>
      <c r="AD13" s="83" t="s">
        <v>72</v>
      </c>
      <c r="AE13" s="83" t="s">
        <v>72</v>
      </c>
      <c r="AF13" s="83" t="s">
        <v>72</v>
      </c>
      <c r="AG13" s="83" t="s">
        <v>72</v>
      </c>
      <c r="AH13" s="83" t="s">
        <v>72</v>
      </c>
      <c r="AI13" s="83" t="s">
        <v>72</v>
      </c>
      <c r="AJ13" s="83" t="s">
        <v>72</v>
      </c>
      <c r="AK13" s="83" t="s">
        <v>72</v>
      </c>
      <c r="AL13" s="83" t="s">
        <v>72</v>
      </c>
      <c r="AM13" s="83" t="s">
        <v>72</v>
      </c>
      <c r="AN13" s="83" t="s">
        <v>72</v>
      </c>
      <c r="AO13" s="83" t="s">
        <v>72</v>
      </c>
      <c r="AP13" s="83" t="s">
        <v>72</v>
      </c>
      <c r="AQ13" s="83" t="s">
        <v>72</v>
      </c>
      <c r="AR13" s="83" t="s">
        <v>72</v>
      </c>
      <c r="AS13" s="83" t="s">
        <v>72</v>
      </c>
      <c r="AT13" s="83" t="s">
        <v>72</v>
      </c>
      <c r="AU13" s="83" t="s">
        <v>72</v>
      </c>
      <c r="AV13" s="83" t="s">
        <v>72</v>
      </c>
      <c r="AW13" s="83" t="s">
        <v>72</v>
      </c>
      <c r="AX13" s="83" t="s">
        <v>72</v>
      </c>
      <c r="AY13" s="83" t="s">
        <v>74</v>
      </c>
      <c r="AZ13" s="83"/>
      <c r="BA13" s="83"/>
      <c r="BB13" s="3"/>
    </row>
    <row r="14" spans="1:54">
      <c r="A14" s="37">
        <v>1066024</v>
      </c>
      <c r="B14" s="1">
        <v>74</v>
      </c>
      <c r="C14" s="27"/>
      <c r="D14" s="26"/>
      <c r="E14" s="34" t="s">
        <v>62</v>
      </c>
      <c r="F14" s="29">
        <v>42850</v>
      </c>
      <c r="G14" s="83" t="s">
        <v>67</v>
      </c>
      <c r="H14" s="29">
        <v>42861</v>
      </c>
      <c r="I14" s="121"/>
      <c r="J14" s="78" t="s">
        <v>72</v>
      </c>
      <c r="K14" s="78" t="s">
        <v>72</v>
      </c>
      <c r="L14" s="78" t="s">
        <v>72</v>
      </c>
      <c r="M14" s="78" t="s">
        <v>72</v>
      </c>
      <c r="N14" s="78" t="s">
        <v>72</v>
      </c>
      <c r="O14" s="78" t="s">
        <v>72</v>
      </c>
      <c r="P14" s="78" t="s">
        <v>72</v>
      </c>
      <c r="Q14" s="78" t="s">
        <v>72</v>
      </c>
      <c r="R14" s="78" t="s">
        <v>72</v>
      </c>
      <c r="S14" s="78" t="s">
        <v>72</v>
      </c>
      <c r="T14" s="78" t="s">
        <v>72</v>
      </c>
      <c r="U14" s="78" t="s">
        <v>72</v>
      </c>
      <c r="V14" s="78" t="s">
        <v>72</v>
      </c>
      <c r="W14" s="78" t="s">
        <v>72</v>
      </c>
      <c r="X14" s="78" t="s">
        <v>72</v>
      </c>
      <c r="Y14" s="78" t="s">
        <v>72</v>
      </c>
      <c r="Z14" s="78" t="s">
        <v>72</v>
      </c>
      <c r="AA14" s="78" t="s">
        <v>72</v>
      </c>
      <c r="AB14" s="78" t="s">
        <v>72</v>
      </c>
      <c r="AC14" s="83" t="s">
        <v>72</v>
      </c>
      <c r="AD14" s="83" t="s">
        <v>72</v>
      </c>
      <c r="AE14" s="83" t="s">
        <v>72</v>
      </c>
      <c r="AF14" s="83" t="s">
        <v>72</v>
      </c>
      <c r="AG14" s="83" t="s">
        <v>72</v>
      </c>
      <c r="AH14" s="83" t="s">
        <v>72</v>
      </c>
      <c r="AI14" s="83" t="s">
        <v>72</v>
      </c>
      <c r="AJ14" s="83" t="s">
        <v>72</v>
      </c>
      <c r="AK14" s="83" t="s">
        <v>72</v>
      </c>
      <c r="AL14" s="83" t="s">
        <v>72</v>
      </c>
      <c r="AM14" s="83" t="s">
        <v>72</v>
      </c>
      <c r="AN14" s="83" t="s">
        <v>72</v>
      </c>
      <c r="AO14" s="83" t="s">
        <v>72</v>
      </c>
      <c r="AP14" s="83" t="s">
        <v>72</v>
      </c>
      <c r="AQ14" s="83" t="s">
        <v>72</v>
      </c>
      <c r="AR14" s="83" t="s">
        <v>72</v>
      </c>
      <c r="AS14" s="83" t="s">
        <v>72</v>
      </c>
      <c r="AT14" s="83" t="s">
        <v>72</v>
      </c>
      <c r="AU14" s="83" t="s">
        <v>72</v>
      </c>
      <c r="AV14" s="83" t="s">
        <v>72</v>
      </c>
      <c r="AW14" s="83" t="s">
        <v>72</v>
      </c>
      <c r="AX14" s="83" t="s">
        <v>72</v>
      </c>
      <c r="AY14" s="83" t="s">
        <v>74</v>
      </c>
      <c r="AZ14" s="83"/>
      <c r="BA14" s="83"/>
      <c r="BB14" s="3"/>
    </row>
    <row r="15" spans="1:54">
      <c r="A15" s="37">
        <v>1066024</v>
      </c>
      <c r="B15" s="1">
        <v>75</v>
      </c>
      <c r="C15" s="27"/>
      <c r="D15" s="26"/>
      <c r="E15" s="34" t="s">
        <v>63</v>
      </c>
      <c r="F15" s="29">
        <v>42850</v>
      </c>
      <c r="G15" s="83" t="s">
        <v>67</v>
      </c>
      <c r="H15" s="29">
        <v>42861</v>
      </c>
      <c r="I15" s="121"/>
      <c r="J15" s="78" t="s">
        <v>72</v>
      </c>
      <c r="K15" s="78" t="s">
        <v>72</v>
      </c>
      <c r="L15" s="78" t="s">
        <v>72</v>
      </c>
      <c r="M15" s="78" t="s">
        <v>72</v>
      </c>
      <c r="N15" s="78" t="s">
        <v>72</v>
      </c>
      <c r="O15" s="78" t="s">
        <v>72</v>
      </c>
      <c r="P15" s="78" t="s">
        <v>72</v>
      </c>
      <c r="Q15" s="78" t="s">
        <v>72</v>
      </c>
      <c r="R15" s="78" t="s">
        <v>72</v>
      </c>
      <c r="S15" s="78" t="s">
        <v>72</v>
      </c>
      <c r="T15" s="78" t="s">
        <v>72</v>
      </c>
      <c r="U15" s="78" t="s">
        <v>72</v>
      </c>
      <c r="V15" s="78" t="s">
        <v>72</v>
      </c>
      <c r="W15" s="78" t="s">
        <v>72</v>
      </c>
      <c r="X15" s="78" t="s">
        <v>72</v>
      </c>
      <c r="Y15" s="78" t="s">
        <v>72</v>
      </c>
      <c r="Z15" s="78" t="s">
        <v>72</v>
      </c>
      <c r="AA15" s="78" t="s">
        <v>72</v>
      </c>
      <c r="AB15" s="78" t="s">
        <v>72</v>
      </c>
      <c r="AC15" s="83" t="s">
        <v>72</v>
      </c>
      <c r="AD15" s="83" t="s">
        <v>72</v>
      </c>
      <c r="AE15" s="83" t="s">
        <v>72</v>
      </c>
      <c r="AF15" s="83" t="s">
        <v>72</v>
      </c>
      <c r="AG15" s="83" t="s">
        <v>72</v>
      </c>
      <c r="AH15" s="83" t="s">
        <v>72</v>
      </c>
      <c r="AI15" s="83" t="s">
        <v>72</v>
      </c>
      <c r="AJ15" s="83" t="s">
        <v>72</v>
      </c>
      <c r="AK15" s="83" t="s">
        <v>72</v>
      </c>
      <c r="AL15" s="83" t="s">
        <v>72</v>
      </c>
      <c r="AM15" s="83" t="s">
        <v>72</v>
      </c>
      <c r="AN15" s="83" t="s">
        <v>72</v>
      </c>
      <c r="AO15" s="83" t="s">
        <v>72</v>
      </c>
      <c r="AP15" s="83" t="s">
        <v>72</v>
      </c>
      <c r="AQ15" s="83" t="s">
        <v>72</v>
      </c>
      <c r="AR15" s="83" t="s">
        <v>74</v>
      </c>
      <c r="AS15" s="83"/>
      <c r="AT15" s="83"/>
      <c r="AU15" s="83"/>
      <c r="AV15" s="83"/>
      <c r="AW15" s="83"/>
      <c r="AX15" s="83"/>
      <c r="AY15" s="83"/>
      <c r="AZ15" s="83"/>
      <c r="BA15" s="83"/>
      <c r="BB15" s="3"/>
    </row>
    <row r="16" spans="1:54">
      <c r="A16" s="37">
        <v>1066025</v>
      </c>
      <c r="B16" s="1">
        <v>81</v>
      </c>
      <c r="C16" s="27"/>
      <c r="D16" s="26"/>
      <c r="E16" s="34" t="s">
        <v>63</v>
      </c>
      <c r="F16" s="29">
        <v>42850</v>
      </c>
      <c r="G16" s="83" t="s">
        <v>67</v>
      </c>
      <c r="H16" s="29">
        <v>42861</v>
      </c>
      <c r="I16" s="121"/>
      <c r="J16" s="78" t="s">
        <v>72</v>
      </c>
      <c r="K16" s="78" t="s">
        <v>72</v>
      </c>
      <c r="L16" s="78" t="s">
        <v>72</v>
      </c>
      <c r="M16" s="78" t="s">
        <v>72</v>
      </c>
      <c r="N16" s="78" t="s">
        <v>72</v>
      </c>
      <c r="O16" s="78" t="s">
        <v>72</v>
      </c>
      <c r="P16" s="78" t="s">
        <v>72</v>
      </c>
      <c r="Q16" s="78" t="s">
        <v>72</v>
      </c>
      <c r="R16" s="78" t="s">
        <v>72</v>
      </c>
      <c r="S16" s="78" t="s">
        <v>72</v>
      </c>
      <c r="T16" s="78" t="s">
        <v>72</v>
      </c>
      <c r="U16" s="78" t="s">
        <v>72</v>
      </c>
      <c r="V16" s="78" t="s">
        <v>72</v>
      </c>
      <c r="W16" s="78" t="s">
        <v>72</v>
      </c>
      <c r="X16" s="78" t="s">
        <v>72</v>
      </c>
      <c r="Y16" s="78" t="s">
        <v>72</v>
      </c>
      <c r="Z16" s="78" t="s">
        <v>72</v>
      </c>
      <c r="AA16" s="78" t="s">
        <v>72</v>
      </c>
      <c r="AB16" s="78" t="s">
        <v>72</v>
      </c>
      <c r="AC16" s="83" t="s">
        <v>72</v>
      </c>
      <c r="AD16" s="83" t="s">
        <v>72</v>
      </c>
      <c r="AE16" s="83" t="s">
        <v>72</v>
      </c>
      <c r="AF16" s="83" t="s">
        <v>72</v>
      </c>
      <c r="AG16" s="83" t="s">
        <v>72</v>
      </c>
      <c r="AH16" s="83" t="s">
        <v>72</v>
      </c>
      <c r="AI16" s="83" t="s">
        <v>72</v>
      </c>
      <c r="AJ16" s="83" t="s">
        <v>74</v>
      </c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3"/>
    </row>
    <row r="17" spans="1:54">
      <c r="A17" s="37">
        <v>1066025</v>
      </c>
      <c r="B17" s="1">
        <v>82</v>
      </c>
      <c r="C17" s="27"/>
      <c r="D17" s="26"/>
      <c r="E17" s="34" t="s">
        <v>62</v>
      </c>
      <c r="F17" s="29">
        <v>42850</v>
      </c>
      <c r="G17" s="83" t="s">
        <v>67</v>
      </c>
      <c r="H17" s="29">
        <v>42861</v>
      </c>
      <c r="I17" s="121"/>
      <c r="J17" s="78" t="s">
        <v>72</v>
      </c>
      <c r="K17" s="78" t="s">
        <v>72</v>
      </c>
      <c r="L17" s="78" t="s">
        <v>72</v>
      </c>
      <c r="M17" s="78" t="s">
        <v>72</v>
      </c>
      <c r="N17" s="78" t="s">
        <v>72</v>
      </c>
      <c r="O17" s="78" t="s">
        <v>72</v>
      </c>
      <c r="P17" s="78" t="s">
        <v>72</v>
      </c>
      <c r="Q17" s="78" t="s">
        <v>72</v>
      </c>
      <c r="R17" s="78" t="s">
        <v>72</v>
      </c>
      <c r="S17" s="78" t="s">
        <v>72</v>
      </c>
      <c r="T17" s="78" t="s">
        <v>72</v>
      </c>
      <c r="U17" s="78" t="s">
        <v>72</v>
      </c>
      <c r="V17" s="78" t="s">
        <v>72</v>
      </c>
      <c r="W17" s="78" t="s">
        <v>72</v>
      </c>
      <c r="X17" s="78" t="s">
        <v>72</v>
      </c>
      <c r="Y17" s="78" t="s">
        <v>72</v>
      </c>
      <c r="Z17" s="78" t="s">
        <v>72</v>
      </c>
      <c r="AA17" s="78" t="s">
        <v>72</v>
      </c>
      <c r="AB17" s="78" t="s">
        <v>72</v>
      </c>
      <c r="AC17" s="83" t="s">
        <v>72</v>
      </c>
      <c r="AD17" s="83" t="s">
        <v>72</v>
      </c>
      <c r="AE17" s="83" t="s">
        <v>72</v>
      </c>
      <c r="AF17" s="83" t="s">
        <v>72</v>
      </c>
      <c r="AG17" s="83" t="s">
        <v>72</v>
      </c>
      <c r="AH17" s="83" t="s">
        <v>72</v>
      </c>
      <c r="AI17" s="83" t="s">
        <v>72</v>
      </c>
      <c r="AJ17" s="83" t="s">
        <v>72</v>
      </c>
      <c r="AK17" s="83" t="s">
        <v>72</v>
      </c>
      <c r="AL17" s="83" t="s">
        <v>72</v>
      </c>
      <c r="AM17" s="83" t="s">
        <v>74</v>
      </c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3"/>
    </row>
    <row r="18" spans="1:54">
      <c r="A18" s="37">
        <v>1066025</v>
      </c>
      <c r="B18" s="1">
        <v>83</v>
      </c>
      <c r="C18" s="27"/>
      <c r="D18" s="26"/>
      <c r="E18" s="34" t="s">
        <v>65</v>
      </c>
      <c r="F18" s="29">
        <v>42850</v>
      </c>
      <c r="G18" s="83" t="s">
        <v>68</v>
      </c>
      <c r="H18" s="29">
        <v>42861</v>
      </c>
      <c r="I18" s="121"/>
      <c r="J18" s="78" t="s">
        <v>72</v>
      </c>
      <c r="K18" s="78" t="s">
        <v>72</v>
      </c>
      <c r="L18" s="78" t="s">
        <v>72</v>
      </c>
      <c r="M18" s="78" t="s">
        <v>72</v>
      </c>
      <c r="N18" s="78" t="s">
        <v>72</v>
      </c>
      <c r="O18" s="78" t="s">
        <v>72</v>
      </c>
      <c r="P18" s="78" t="s">
        <v>72</v>
      </c>
      <c r="Q18" s="78" t="s">
        <v>72</v>
      </c>
      <c r="R18" s="78" t="s">
        <v>72</v>
      </c>
      <c r="S18" s="78" t="s">
        <v>72</v>
      </c>
      <c r="T18" s="78" t="s">
        <v>72</v>
      </c>
      <c r="U18" s="78" t="s">
        <v>72</v>
      </c>
      <c r="V18" s="78" t="s">
        <v>72</v>
      </c>
      <c r="W18" s="78" t="s">
        <v>72</v>
      </c>
      <c r="X18" s="78" t="s">
        <v>72</v>
      </c>
      <c r="Y18" s="78" t="s">
        <v>72</v>
      </c>
      <c r="Z18" s="78" t="s">
        <v>72</v>
      </c>
      <c r="AA18" s="78" t="s">
        <v>72</v>
      </c>
      <c r="AB18" s="78" t="s">
        <v>72</v>
      </c>
      <c r="AC18" s="83" t="s">
        <v>72</v>
      </c>
      <c r="AD18" s="83" t="s">
        <v>72</v>
      </c>
      <c r="AE18" s="83" t="s">
        <v>72</v>
      </c>
      <c r="AF18" s="83" t="s">
        <v>72</v>
      </c>
      <c r="AG18" s="83" t="s">
        <v>72</v>
      </c>
      <c r="AH18" s="83" t="s">
        <v>72</v>
      </c>
      <c r="AI18" s="83" t="s">
        <v>74</v>
      </c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3"/>
    </row>
    <row r="19" spans="1:54">
      <c r="A19" s="37">
        <v>1066025</v>
      </c>
      <c r="B19" s="1">
        <v>84</v>
      </c>
      <c r="C19" s="27"/>
      <c r="D19" s="26"/>
      <c r="E19" s="34" t="s">
        <v>64</v>
      </c>
      <c r="F19" s="29">
        <v>42850</v>
      </c>
      <c r="G19" s="83" t="s">
        <v>68</v>
      </c>
      <c r="H19" s="29">
        <v>42861</v>
      </c>
      <c r="I19" s="121"/>
      <c r="J19" s="78" t="s">
        <v>72</v>
      </c>
      <c r="K19" s="78" t="s">
        <v>72</v>
      </c>
      <c r="L19" s="78" t="s">
        <v>72</v>
      </c>
      <c r="M19" s="78" t="s">
        <v>72</v>
      </c>
      <c r="N19" s="78" t="s">
        <v>72</v>
      </c>
      <c r="O19" s="78" t="s">
        <v>72</v>
      </c>
      <c r="P19" s="78" t="s">
        <v>72</v>
      </c>
      <c r="Q19" s="78" t="s">
        <v>72</v>
      </c>
      <c r="R19" s="78" t="s">
        <v>72</v>
      </c>
      <c r="S19" s="78" t="s">
        <v>72</v>
      </c>
      <c r="T19" s="78" t="s">
        <v>72</v>
      </c>
      <c r="U19" s="78" t="s">
        <v>72</v>
      </c>
      <c r="V19" s="78" t="s">
        <v>72</v>
      </c>
      <c r="W19" s="83" t="s">
        <v>74</v>
      </c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3"/>
    </row>
    <row r="20" spans="1:54">
      <c r="A20" s="37">
        <v>1066025</v>
      </c>
      <c r="B20" s="1">
        <v>85</v>
      </c>
      <c r="C20" s="27"/>
      <c r="D20" s="26"/>
      <c r="E20" s="28" t="s">
        <v>64</v>
      </c>
      <c r="F20" s="29">
        <v>42850</v>
      </c>
      <c r="G20" s="83" t="s">
        <v>68</v>
      </c>
      <c r="H20" s="29">
        <v>42861</v>
      </c>
      <c r="I20" s="121"/>
      <c r="J20" s="78" t="s">
        <v>72</v>
      </c>
      <c r="K20" s="78" t="s">
        <v>72</v>
      </c>
      <c r="L20" s="78" t="s">
        <v>72</v>
      </c>
      <c r="M20" s="78" t="s">
        <v>72</v>
      </c>
      <c r="N20" s="78" t="s">
        <v>72</v>
      </c>
      <c r="O20" s="78" t="s">
        <v>72</v>
      </c>
      <c r="P20" s="78" t="s">
        <v>72</v>
      </c>
      <c r="Q20" s="78" t="s">
        <v>72</v>
      </c>
      <c r="R20" s="78" t="s">
        <v>72</v>
      </c>
      <c r="S20" s="78" t="s">
        <v>72</v>
      </c>
      <c r="T20" s="78" t="s">
        <v>72</v>
      </c>
      <c r="U20" s="78" t="s">
        <v>72</v>
      </c>
      <c r="V20" s="78" t="s">
        <v>72</v>
      </c>
      <c r="W20" s="78" t="s">
        <v>72</v>
      </c>
      <c r="X20" s="78" t="s">
        <v>72</v>
      </c>
      <c r="Y20" s="83" t="s">
        <v>74</v>
      </c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3"/>
    </row>
    <row r="21" spans="1:54">
      <c r="A21" s="37">
        <v>1066026</v>
      </c>
      <c r="B21" s="1">
        <v>91</v>
      </c>
      <c r="C21" s="27"/>
      <c r="D21" s="26"/>
      <c r="E21" s="34" t="s">
        <v>64</v>
      </c>
      <c r="F21" s="29">
        <v>42850</v>
      </c>
      <c r="G21" s="83" t="s">
        <v>68</v>
      </c>
      <c r="H21" s="29">
        <v>42861</v>
      </c>
      <c r="I21" s="121"/>
      <c r="J21" s="78" t="s">
        <v>72</v>
      </c>
      <c r="K21" s="78" t="s">
        <v>72</v>
      </c>
      <c r="L21" s="78" t="s">
        <v>72</v>
      </c>
      <c r="M21" s="78" t="s">
        <v>72</v>
      </c>
      <c r="N21" s="78" t="s">
        <v>72</v>
      </c>
      <c r="O21" s="78" t="s">
        <v>72</v>
      </c>
      <c r="P21" s="78" t="s">
        <v>72</v>
      </c>
      <c r="Q21" s="78" t="s">
        <v>72</v>
      </c>
      <c r="R21" s="78" t="s">
        <v>72</v>
      </c>
      <c r="S21" s="78" t="s">
        <v>72</v>
      </c>
      <c r="T21" s="78" t="s">
        <v>72</v>
      </c>
      <c r="U21" s="78" t="s">
        <v>72</v>
      </c>
      <c r="V21" s="78" t="s">
        <v>72</v>
      </c>
      <c r="W21" s="78" t="s">
        <v>72</v>
      </c>
      <c r="X21" s="78" t="s">
        <v>72</v>
      </c>
      <c r="Y21" s="83" t="s">
        <v>74</v>
      </c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3"/>
    </row>
    <row r="22" spans="1:54">
      <c r="A22" s="37">
        <v>1066026</v>
      </c>
      <c r="B22" s="1">
        <v>92</v>
      </c>
      <c r="C22" s="27"/>
      <c r="D22" s="26"/>
      <c r="E22" s="34" t="s">
        <v>64</v>
      </c>
      <c r="F22" s="29">
        <v>42850</v>
      </c>
      <c r="G22" s="83" t="s">
        <v>68</v>
      </c>
      <c r="H22" s="29">
        <v>42861</v>
      </c>
      <c r="I22" s="121"/>
      <c r="J22" s="78" t="s">
        <v>72</v>
      </c>
      <c r="K22" s="78" t="s">
        <v>72</v>
      </c>
      <c r="L22" s="78" t="s">
        <v>72</v>
      </c>
      <c r="M22" s="78" t="s">
        <v>72</v>
      </c>
      <c r="N22" s="78" t="s">
        <v>72</v>
      </c>
      <c r="O22" s="78" t="s">
        <v>72</v>
      </c>
      <c r="P22" s="78" t="s">
        <v>72</v>
      </c>
      <c r="Q22" s="78" t="s">
        <v>72</v>
      </c>
      <c r="R22" s="78" t="s">
        <v>72</v>
      </c>
      <c r="S22" s="78" t="s">
        <v>72</v>
      </c>
      <c r="T22" s="78" t="s">
        <v>72</v>
      </c>
      <c r="U22" s="78" t="s">
        <v>72</v>
      </c>
      <c r="V22" s="78" t="s">
        <v>72</v>
      </c>
      <c r="W22" s="78" t="s">
        <v>72</v>
      </c>
      <c r="X22" s="78" t="s">
        <v>72</v>
      </c>
      <c r="Y22" s="78" t="s">
        <v>72</v>
      </c>
      <c r="Z22" s="78" t="s">
        <v>72</v>
      </c>
      <c r="AA22" s="78" t="s">
        <v>72</v>
      </c>
      <c r="AB22" s="78" t="s">
        <v>72</v>
      </c>
      <c r="AC22" s="83" t="s">
        <v>72</v>
      </c>
      <c r="AD22" s="83" t="s">
        <v>72</v>
      </c>
      <c r="AE22" s="83" t="s">
        <v>72</v>
      </c>
      <c r="AF22" s="83" t="s">
        <v>72</v>
      </c>
      <c r="AG22" s="83" t="s">
        <v>72</v>
      </c>
      <c r="AH22" s="83" t="s">
        <v>72</v>
      </c>
      <c r="AI22" s="83" t="s">
        <v>72</v>
      </c>
      <c r="AJ22" s="83" t="s">
        <v>72</v>
      </c>
      <c r="AK22" s="83" t="s">
        <v>72</v>
      </c>
      <c r="AL22" s="83" t="s">
        <v>72</v>
      </c>
      <c r="AM22" s="83" t="s">
        <v>72</v>
      </c>
      <c r="AN22" s="83" t="s">
        <v>72</v>
      </c>
      <c r="AO22" s="83" t="s">
        <v>72</v>
      </c>
      <c r="AP22" s="83" t="s">
        <v>72</v>
      </c>
      <c r="AQ22" s="83" t="s">
        <v>72</v>
      </c>
      <c r="AR22" s="83" t="s">
        <v>72</v>
      </c>
      <c r="AS22" s="83" t="s">
        <v>72</v>
      </c>
      <c r="AT22" s="83" t="s">
        <v>72</v>
      </c>
      <c r="AU22" s="83" t="s">
        <v>72</v>
      </c>
      <c r="AV22" s="83" t="s">
        <v>72</v>
      </c>
      <c r="AW22" s="83" t="s">
        <v>72</v>
      </c>
      <c r="AX22" s="83" t="s">
        <v>72</v>
      </c>
      <c r="AY22" s="83" t="s">
        <v>74</v>
      </c>
      <c r="AZ22" s="83"/>
      <c r="BA22" s="83"/>
      <c r="BB22" s="3"/>
    </row>
    <row r="23" spans="1:54">
      <c r="A23" s="37">
        <v>1066026</v>
      </c>
      <c r="B23" s="1">
        <v>93</v>
      </c>
      <c r="C23" s="27"/>
      <c r="D23" s="26"/>
      <c r="E23" s="34" t="s">
        <v>65</v>
      </c>
      <c r="F23" s="29">
        <v>42850</v>
      </c>
      <c r="G23" s="83" t="s">
        <v>68</v>
      </c>
      <c r="H23" s="29">
        <v>42861</v>
      </c>
      <c r="I23" s="121"/>
      <c r="J23" s="78" t="s">
        <v>72</v>
      </c>
      <c r="K23" s="78" t="s">
        <v>72</v>
      </c>
      <c r="L23" s="78" t="s">
        <v>72</v>
      </c>
      <c r="M23" s="78" t="s">
        <v>72</v>
      </c>
      <c r="N23" s="78" t="s">
        <v>72</v>
      </c>
      <c r="O23" s="78" t="s">
        <v>72</v>
      </c>
      <c r="P23" s="78" t="s">
        <v>72</v>
      </c>
      <c r="Q23" s="78" t="s">
        <v>72</v>
      </c>
      <c r="R23" s="78" t="s">
        <v>72</v>
      </c>
      <c r="S23" s="78" t="s">
        <v>72</v>
      </c>
      <c r="T23" s="78" t="s">
        <v>72</v>
      </c>
      <c r="U23" s="78" t="s">
        <v>72</v>
      </c>
      <c r="V23" s="78" t="s">
        <v>72</v>
      </c>
      <c r="W23" s="78" t="s">
        <v>72</v>
      </c>
      <c r="X23" s="78" t="s">
        <v>72</v>
      </c>
      <c r="Y23" s="78" t="s">
        <v>72</v>
      </c>
      <c r="Z23" s="78" t="s">
        <v>72</v>
      </c>
      <c r="AA23" s="78" t="s">
        <v>72</v>
      </c>
      <c r="AB23" s="78" t="s">
        <v>72</v>
      </c>
      <c r="AC23" s="83" t="s">
        <v>72</v>
      </c>
      <c r="AD23" s="83" t="s">
        <v>72</v>
      </c>
      <c r="AE23" s="83" t="s">
        <v>72</v>
      </c>
      <c r="AF23" s="83" t="s">
        <v>72</v>
      </c>
      <c r="AG23" s="83" t="s">
        <v>72</v>
      </c>
      <c r="AH23" s="83" t="s">
        <v>72</v>
      </c>
      <c r="AI23" s="83" t="s">
        <v>72</v>
      </c>
      <c r="AJ23" s="83" t="s">
        <v>74</v>
      </c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3"/>
    </row>
    <row r="24" spans="1:54">
      <c r="A24" s="37">
        <v>1066026</v>
      </c>
      <c r="B24" s="1">
        <v>94</v>
      </c>
      <c r="C24" s="27"/>
      <c r="D24" s="26"/>
      <c r="E24" s="34" t="s">
        <v>65</v>
      </c>
      <c r="F24" s="29">
        <v>42850</v>
      </c>
      <c r="G24" s="83" t="s">
        <v>68</v>
      </c>
      <c r="H24" s="29">
        <v>42861</v>
      </c>
      <c r="I24" s="121"/>
      <c r="J24" s="78" t="s">
        <v>72</v>
      </c>
      <c r="K24" s="78" t="s">
        <v>72</v>
      </c>
      <c r="L24" s="78" t="s">
        <v>72</v>
      </c>
      <c r="M24" s="78" t="s">
        <v>72</v>
      </c>
      <c r="N24" s="78" t="s">
        <v>72</v>
      </c>
      <c r="O24" s="78" t="s">
        <v>72</v>
      </c>
      <c r="P24" s="78" t="s">
        <v>72</v>
      </c>
      <c r="Q24" s="78" t="s">
        <v>72</v>
      </c>
      <c r="R24" s="78" t="s">
        <v>72</v>
      </c>
      <c r="S24" s="78" t="s">
        <v>72</v>
      </c>
      <c r="T24" s="78" t="s">
        <v>72</v>
      </c>
      <c r="U24" s="78" t="s">
        <v>72</v>
      </c>
      <c r="V24" s="78" t="s">
        <v>72</v>
      </c>
      <c r="W24" s="78" t="s">
        <v>72</v>
      </c>
      <c r="X24" s="78" t="s">
        <v>72</v>
      </c>
      <c r="Y24" s="78" t="s">
        <v>72</v>
      </c>
      <c r="Z24" s="78" t="s">
        <v>72</v>
      </c>
      <c r="AA24" s="78" t="s">
        <v>72</v>
      </c>
      <c r="AB24" s="78" t="s">
        <v>72</v>
      </c>
      <c r="AC24" s="83" t="s">
        <v>72</v>
      </c>
      <c r="AD24" s="83" t="s">
        <v>72</v>
      </c>
      <c r="AE24" s="83" t="s">
        <v>72</v>
      </c>
      <c r="AF24" s="83" t="s">
        <v>72</v>
      </c>
      <c r="AG24" s="83" t="s">
        <v>72</v>
      </c>
      <c r="AH24" s="83" t="s">
        <v>72</v>
      </c>
      <c r="AI24" s="83" t="s">
        <v>72</v>
      </c>
      <c r="AJ24" s="83" t="s">
        <v>72</v>
      </c>
      <c r="AK24" s="83" t="s">
        <v>72</v>
      </c>
      <c r="AL24" s="83" t="s">
        <v>72</v>
      </c>
      <c r="AM24" s="83" t="s">
        <v>72</v>
      </c>
      <c r="AN24" s="83" t="s">
        <v>72</v>
      </c>
      <c r="AO24" s="83" t="s">
        <v>72</v>
      </c>
      <c r="AP24" s="83" t="s">
        <v>72</v>
      </c>
      <c r="AQ24" s="83" t="s">
        <v>72</v>
      </c>
      <c r="AR24" s="83" t="s">
        <v>72</v>
      </c>
      <c r="AS24" s="83" t="s">
        <v>72</v>
      </c>
      <c r="AT24" s="83" t="s">
        <v>74</v>
      </c>
      <c r="AU24" s="83"/>
      <c r="AV24" s="83"/>
      <c r="AW24" s="83"/>
      <c r="AX24" s="83"/>
      <c r="AY24" s="83"/>
      <c r="AZ24" s="83"/>
      <c r="BA24" s="83"/>
      <c r="BB24" s="3"/>
    </row>
    <row r="25" spans="1:54">
      <c r="A25" s="37">
        <v>1066026</v>
      </c>
      <c r="B25" s="1">
        <v>95</v>
      </c>
      <c r="C25" s="27"/>
      <c r="D25" s="26"/>
      <c r="E25" s="34" t="s">
        <v>65</v>
      </c>
      <c r="F25" s="29">
        <v>42850</v>
      </c>
      <c r="G25" s="83" t="s">
        <v>68</v>
      </c>
      <c r="H25" s="29">
        <v>42861</v>
      </c>
      <c r="I25" s="121"/>
      <c r="J25" s="78" t="s">
        <v>72</v>
      </c>
      <c r="K25" s="78" t="s">
        <v>72</v>
      </c>
      <c r="L25" s="78" t="s">
        <v>72</v>
      </c>
      <c r="M25" s="78" t="s">
        <v>72</v>
      </c>
      <c r="N25" s="78" t="s">
        <v>72</v>
      </c>
      <c r="O25" s="78" t="s">
        <v>72</v>
      </c>
      <c r="P25" s="78" t="s">
        <v>72</v>
      </c>
      <c r="Q25" s="78" t="s">
        <v>72</v>
      </c>
      <c r="R25" s="78" t="s">
        <v>72</v>
      </c>
      <c r="S25" s="78" t="s">
        <v>72</v>
      </c>
      <c r="T25" s="78" t="s">
        <v>72</v>
      </c>
      <c r="U25" s="78" t="s">
        <v>72</v>
      </c>
      <c r="V25" s="78" t="s">
        <v>72</v>
      </c>
      <c r="W25" s="78" t="s">
        <v>72</v>
      </c>
      <c r="X25" s="78" t="s">
        <v>72</v>
      </c>
      <c r="Y25" s="78" t="s">
        <v>72</v>
      </c>
      <c r="Z25" s="78" t="s">
        <v>72</v>
      </c>
      <c r="AA25" s="78" t="s">
        <v>72</v>
      </c>
      <c r="AB25" s="78" t="s">
        <v>72</v>
      </c>
      <c r="AC25" s="83" t="s">
        <v>72</v>
      </c>
      <c r="AD25" s="83" t="s">
        <v>72</v>
      </c>
      <c r="AE25" s="83" t="s">
        <v>72</v>
      </c>
      <c r="AF25" s="83" t="s">
        <v>72</v>
      </c>
      <c r="AG25" s="83" t="s">
        <v>72</v>
      </c>
      <c r="AH25" s="83" t="s">
        <v>72</v>
      </c>
      <c r="AI25" s="83" t="s">
        <v>72</v>
      </c>
      <c r="AJ25" s="83" t="s">
        <v>72</v>
      </c>
      <c r="AK25" s="83" t="s">
        <v>72</v>
      </c>
      <c r="AL25" s="83" t="s">
        <v>72</v>
      </c>
      <c r="AM25" s="83" t="s">
        <v>72</v>
      </c>
      <c r="AN25" s="83" t="s">
        <v>72</v>
      </c>
      <c r="AO25" s="83" t="s">
        <v>72</v>
      </c>
      <c r="AP25" s="83" t="s">
        <v>72</v>
      </c>
      <c r="AQ25" s="83" t="s">
        <v>72</v>
      </c>
      <c r="AR25" s="83" t="s">
        <v>72</v>
      </c>
      <c r="AS25" s="83" t="s">
        <v>72</v>
      </c>
      <c r="AT25" s="83" t="s">
        <v>72</v>
      </c>
      <c r="AU25" s="83" t="s">
        <v>72</v>
      </c>
      <c r="AV25" s="83" t="s">
        <v>72</v>
      </c>
      <c r="AW25" s="83" t="s">
        <v>72</v>
      </c>
      <c r="AX25" s="83" t="s">
        <v>72</v>
      </c>
      <c r="AY25" s="83" t="s">
        <v>74</v>
      </c>
      <c r="AZ25" s="83"/>
      <c r="BA25" s="83"/>
      <c r="BB25" s="3"/>
    </row>
    <row r="26" spans="1:54">
      <c r="A26" s="37">
        <v>1066027</v>
      </c>
      <c r="B26" s="1">
        <v>101</v>
      </c>
      <c r="C26" s="27"/>
      <c r="D26" s="26"/>
      <c r="E26" s="34" t="s">
        <v>73</v>
      </c>
      <c r="F26" s="29">
        <v>42850</v>
      </c>
      <c r="G26" s="83" t="s">
        <v>68</v>
      </c>
      <c r="H26" s="29">
        <v>42861</v>
      </c>
      <c r="I26" s="121"/>
      <c r="J26" s="78" t="s">
        <v>72</v>
      </c>
      <c r="K26" s="78" t="s">
        <v>72</v>
      </c>
      <c r="L26" s="78" t="s">
        <v>72</v>
      </c>
      <c r="M26" s="78" t="s">
        <v>72</v>
      </c>
      <c r="N26" s="78" t="s">
        <v>72</v>
      </c>
      <c r="O26" s="78" t="s">
        <v>72</v>
      </c>
      <c r="P26" s="78" t="s">
        <v>72</v>
      </c>
      <c r="Q26" s="78" t="s">
        <v>72</v>
      </c>
      <c r="R26" s="78" t="s">
        <v>72</v>
      </c>
      <c r="S26" s="78" t="s">
        <v>74</v>
      </c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3"/>
    </row>
    <row r="27" spans="1:54">
      <c r="A27" s="37">
        <v>1066027</v>
      </c>
      <c r="B27" s="1">
        <v>102</v>
      </c>
      <c r="C27" s="27"/>
      <c r="D27" s="26"/>
      <c r="E27" s="34" t="s">
        <v>65</v>
      </c>
      <c r="F27" s="29">
        <v>42850</v>
      </c>
      <c r="G27" s="83" t="s">
        <v>68</v>
      </c>
      <c r="H27" s="29">
        <v>42861</v>
      </c>
      <c r="I27" s="121"/>
      <c r="J27" s="78" t="s">
        <v>72</v>
      </c>
      <c r="K27" s="78" t="s">
        <v>72</v>
      </c>
      <c r="L27" s="78" t="s">
        <v>72</v>
      </c>
      <c r="M27" s="78" t="s">
        <v>72</v>
      </c>
      <c r="N27" s="78" t="s">
        <v>72</v>
      </c>
      <c r="O27" s="78" t="s">
        <v>72</v>
      </c>
      <c r="P27" s="78" t="s">
        <v>72</v>
      </c>
      <c r="Q27" s="78" t="s">
        <v>72</v>
      </c>
      <c r="R27" s="78" t="s">
        <v>72</v>
      </c>
      <c r="S27" s="83" t="s">
        <v>72</v>
      </c>
      <c r="T27" s="83" t="s">
        <v>72</v>
      </c>
      <c r="U27" s="83" t="s">
        <v>72</v>
      </c>
      <c r="V27" s="83" t="s">
        <v>72</v>
      </c>
      <c r="W27" s="83" t="s">
        <v>72</v>
      </c>
      <c r="X27" s="83" t="s">
        <v>72</v>
      </c>
      <c r="Y27" s="83" t="s">
        <v>72</v>
      </c>
      <c r="Z27" s="83" t="s">
        <v>72</v>
      </c>
      <c r="AA27" s="83" t="s">
        <v>72</v>
      </c>
      <c r="AB27" s="83" t="s">
        <v>72</v>
      </c>
      <c r="AC27" s="83" t="s">
        <v>72</v>
      </c>
      <c r="AD27" s="83" t="s">
        <v>72</v>
      </c>
      <c r="AE27" s="83" t="s">
        <v>72</v>
      </c>
      <c r="AF27" s="83" t="s">
        <v>72</v>
      </c>
      <c r="AG27" s="83" t="s">
        <v>72</v>
      </c>
      <c r="AH27" s="83" t="s">
        <v>72</v>
      </c>
      <c r="AI27" s="83" t="s">
        <v>72</v>
      </c>
      <c r="AJ27" s="83" t="s">
        <v>72</v>
      </c>
      <c r="AK27" s="83" t="s">
        <v>72</v>
      </c>
      <c r="AL27" s="83" t="s">
        <v>72</v>
      </c>
      <c r="AM27" s="83" t="s">
        <v>72</v>
      </c>
      <c r="AN27" s="83" t="s">
        <v>72</v>
      </c>
      <c r="AO27" s="83" t="s">
        <v>72</v>
      </c>
      <c r="AP27" s="83" t="s">
        <v>72</v>
      </c>
      <c r="AQ27" s="83" t="s">
        <v>72</v>
      </c>
      <c r="AR27" s="83" t="s">
        <v>72</v>
      </c>
      <c r="AS27" s="83" t="s">
        <v>72</v>
      </c>
      <c r="AT27" s="83" t="s">
        <v>72</v>
      </c>
      <c r="AU27" s="83" t="s">
        <v>72</v>
      </c>
      <c r="AV27" s="83" t="s">
        <v>72</v>
      </c>
      <c r="AW27" s="83" t="s">
        <v>72</v>
      </c>
      <c r="AX27" s="83" t="s">
        <v>72</v>
      </c>
      <c r="AY27" s="83" t="s">
        <v>74</v>
      </c>
      <c r="AZ27" s="83"/>
      <c r="BA27" s="83"/>
      <c r="BB27" s="3"/>
    </row>
    <row r="28" spans="1:54">
      <c r="A28" s="37">
        <v>1066027</v>
      </c>
      <c r="B28" s="1">
        <v>103</v>
      </c>
      <c r="C28" s="27"/>
      <c r="D28" s="26"/>
      <c r="E28" s="34" t="s">
        <v>73</v>
      </c>
      <c r="F28" s="29">
        <v>42850</v>
      </c>
      <c r="G28" s="83" t="s">
        <v>68</v>
      </c>
      <c r="H28" s="29">
        <v>42861</v>
      </c>
      <c r="I28" s="121"/>
      <c r="J28" s="78" t="s">
        <v>72</v>
      </c>
      <c r="K28" s="78" t="s">
        <v>72</v>
      </c>
      <c r="L28" s="78" t="s">
        <v>72</v>
      </c>
      <c r="M28" s="78" t="s">
        <v>72</v>
      </c>
      <c r="N28" s="78" t="s">
        <v>72</v>
      </c>
      <c r="O28" s="78" t="s">
        <v>72</v>
      </c>
      <c r="P28" s="78" t="s">
        <v>72</v>
      </c>
      <c r="Q28" s="78" t="s">
        <v>72</v>
      </c>
      <c r="R28" s="78" t="s">
        <v>72</v>
      </c>
      <c r="S28" s="78" t="s">
        <v>74</v>
      </c>
      <c r="T28" s="78"/>
      <c r="U28" s="78"/>
      <c r="V28" s="78"/>
      <c r="W28" s="78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3"/>
    </row>
    <row r="29" spans="1:54">
      <c r="A29" s="37">
        <v>1066027</v>
      </c>
      <c r="B29" s="1">
        <v>104</v>
      </c>
      <c r="C29" s="27"/>
      <c r="D29" s="26"/>
      <c r="E29" s="34" t="s">
        <v>64</v>
      </c>
      <c r="F29" s="29">
        <v>42850</v>
      </c>
      <c r="G29" s="83" t="s">
        <v>68</v>
      </c>
      <c r="H29" s="29">
        <v>42861</v>
      </c>
      <c r="I29" s="121"/>
      <c r="J29" s="78" t="s">
        <v>72</v>
      </c>
      <c r="K29" s="78" t="s">
        <v>72</v>
      </c>
      <c r="L29" s="78" t="s">
        <v>72</v>
      </c>
      <c r="M29" s="78" t="s">
        <v>72</v>
      </c>
      <c r="N29" s="78" t="s">
        <v>72</v>
      </c>
      <c r="O29" s="78" t="s">
        <v>72</v>
      </c>
      <c r="P29" s="78" t="s">
        <v>72</v>
      </c>
      <c r="Q29" s="78" t="s">
        <v>72</v>
      </c>
      <c r="R29" s="78" t="s">
        <v>72</v>
      </c>
      <c r="S29" s="78" t="s">
        <v>72</v>
      </c>
      <c r="T29" s="78" t="s">
        <v>72</v>
      </c>
      <c r="U29" s="78" t="s">
        <v>74</v>
      </c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3"/>
    </row>
    <row r="30" spans="1:54">
      <c r="A30" s="38">
        <v>1066027</v>
      </c>
      <c r="B30" s="4">
        <v>105</v>
      </c>
      <c r="C30" s="27"/>
      <c r="D30" s="4"/>
      <c r="E30" s="34" t="s">
        <v>64</v>
      </c>
      <c r="F30" s="39">
        <v>42850</v>
      </c>
      <c r="G30" s="84" t="s">
        <v>68</v>
      </c>
      <c r="H30" s="29">
        <v>42861</v>
      </c>
      <c r="I30" s="121"/>
      <c r="J30" s="78" t="s">
        <v>72</v>
      </c>
      <c r="K30" s="78" t="s">
        <v>72</v>
      </c>
      <c r="L30" s="78" t="s">
        <v>72</v>
      </c>
      <c r="M30" s="78" t="s">
        <v>72</v>
      </c>
      <c r="N30" s="78" t="s">
        <v>72</v>
      </c>
      <c r="O30" s="78" t="s">
        <v>72</v>
      </c>
      <c r="P30" s="78" t="s">
        <v>72</v>
      </c>
      <c r="Q30" s="78" t="s">
        <v>72</v>
      </c>
      <c r="R30" s="78" t="s">
        <v>72</v>
      </c>
      <c r="S30" s="84" t="s">
        <v>72</v>
      </c>
      <c r="T30" s="84" t="s">
        <v>72</v>
      </c>
      <c r="U30" s="84" t="s">
        <v>72</v>
      </c>
      <c r="V30" s="84" t="s">
        <v>72</v>
      </c>
      <c r="W30" s="84" t="s">
        <v>72</v>
      </c>
      <c r="X30" s="84" t="s">
        <v>74</v>
      </c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3"/>
    </row>
    <row r="31" spans="1:54" s="88" customFormat="1">
      <c r="A31" s="108"/>
      <c r="B31" s="90"/>
      <c r="C31" s="109"/>
      <c r="D31" s="90"/>
      <c r="E31" s="100"/>
      <c r="F31" s="110"/>
      <c r="G31" s="99"/>
      <c r="H31" s="110"/>
      <c r="I31" s="90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</row>
    <row r="32" spans="1:54" s="88" customFormat="1">
      <c r="A32" s="123"/>
      <c r="B32" s="87"/>
      <c r="C32" s="124"/>
      <c r="D32" s="87"/>
      <c r="F32" s="125"/>
      <c r="G32" s="127"/>
      <c r="H32" s="125"/>
      <c r="I32" s="8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</row>
    <row r="33" spans="1:54" ht="14.25" customHeight="1">
      <c r="A33" s="85"/>
      <c r="B33" s="85"/>
      <c r="C33" s="85"/>
      <c r="D33" s="45"/>
      <c r="E33" s="94" t="s">
        <v>16</v>
      </c>
      <c r="F33" s="86"/>
      <c r="G33" s="82"/>
      <c r="H33" s="252" t="s">
        <v>16</v>
      </c>
      <c r="I33" s="106" t="s">
        <v>50</v>
      </c>
      <c r="J33" s="78">
        <f>COUNTIF(J5:J30,"Alive")</f>
        <v>26</v>
      </c>
      <c r="K33" s="78">
        <f>COUNTIF(K5:K30,"Alive")</f>
        <v>26</v>
      </c>
      <c r="L33" s="78">
        <f>COUNTIF(L5:L30,"Alive")</f>
        <v>26</v>
      </c>
      <c r="M33" s="78">
        <f>COUNTIF(M5:M30,"Alive")</f>
        <v>26</v>
      </c>
      <c r="N33" s="78">
        <f>COUNTIF(N5:N30,"Alive")</f>
        <v>26</v>
      </c>
      <c r="O33" s="78">
        <f>COUNTIF(O5:O30,"Alive")</f>
        <v>26</v>
      </c>
      <c r="P33" s="78">
        <f>COUNTIF(P5:P30,"Alive")</f>
        <v>26</v>
      </c>
      <c r="Q33" s="78">
        <f>COUNTIF(Q5:Q30,"Alive")</f>
        <v>26</v>
      </c>
      <c r="R33" s="78">
        <f>COUNTIF(R5:R30,"Alive")</f>
        <v>26</v>
      </c>
      <c r="S33" s="78">
        <f>COUNTIF(S5:S30,"Alive")</f>
        <v>24</v>
      </c>
      <c r="T33" s="78">
        <f>COUNTIF(T5:T30,"Alive")</f>
        <v>24</v>
      </c>
      <c r="U33" s="78">
        <f>COUNTIF(U5:U30,"Alive")</f>
        <v>23</v>
      </c>
      <c r="V33" s="78">
        <f>COUNTIF(V5:V30,"Alive")</f>
        <v>23</v>
      </c>
      <c r="W33" s="78">
        <f>COUNTIF(W5:W30,"Alive")</f>
        <v>22</v>
      </c>
      <c r="X33" s="78">
        <f>COUNTIF(X5:X30,"Alive")</f>
        <v>21</v>
      </c>
      <c r="Y33" s="78">
        <f>COUNTIF(Y5:Y30,"Alive")</f>
        <v>19</v>
      </c>
      <c r="Z33" s="78">
        <f>COUNTIF(Z5:Z30,"Alive")</f>
        <v>18</v>
      </c>
      <c r="AA33" s="78">
        <f>COUNTIF(AA5:AA30,"Alive")</f>
        <v>17</v>
      </c>
      <c r="AB33" s="78">
        <f>COUNTIF(AB5:AB30,"Alive")</f>
        <v>16</v>
      </c>
      <c r="AC33" s="78">
        <f>COUNTIF(AC5:AC30,"Alive")</f>
        <v>15</v>
      </c>
      <c r="AD33" s="78">
        <f>COUNTIF(AD5:AD30,"Alive")</f>
        <v>14</v>
      </c>
      <c r="AE33" s="78">
        <f>COUNTIF(AE5:AE30,"Alive")</f>
        <v>14</v>
      </c>
      <c r="AF33" s="78">
        <f>COUNTIF(AF5:AF30,"Alive")</f>
        <v>14</v>
      </c>
      <c r="AG33" s="78">
        <f>COUNTIF(AG5:AG30,"Alive")</f>
        <v>14</v>
      </c>
      <c r="AH33" s="78">
        <f>COUNTIF(AH5:AH30,"Alive")</f>
        <v>14</v>
      </c>
      <c r="AI33" s="78">
        <f>COUNTIF(AI5:AI30,"Alive")</f>
        <v>13</v>
      </c>
      <c r="AJ33" s="78">
        <f>COUNTIF(AJ5:AJ30,"Alive")</f>
        <v>11</v>
      </c>
      <c r="AK33" s="78">
        <f>COUNTIF(AK5:AK30,"Alive")</f>
        <v>11</v>
      </c>
      <c r="AL33" s="78">
        <f>COUNTIF(AL5:AL30,"Alive")</f>
        <v>11</v>
      </c>
      <c r="AM33" s="78">
        <f>COUNTIF(AM5:AM30,"Alive")</f>
        <v>10</v>
      </c>
      <c r="AN33" s="78">
        <f>COUNTIF(AN5:AN30,"Alive")</f>
        <v>9</v>
      </c>
      <c r="AO33" s="78">
        <f>COUNTIF(AO5:AO30,"Alive")</f>
        <v>9</v>
      </c>
      <c r="AP33" s="78">
        <f>COUNTIF(AP5:AP30,"Alive")</f>
        <v>9</v>
      </c>
      <c r="AQ33" s="78">
        <f>COUNTIF(AQ5:AQ30,"Alive")</f>
        <v>9</v>
      </c>
      <c r="AR33" s="78">
        <f>COUNTIF(AR5:AR30,"Alive")</f>
        <v>8</v>
      </c>
      <c r="AS33" s="78">
        <f>COUNTIF(AS5:AS30,"Alive")</f>
        <v>8</v>
      </c>
      <c r="AT33" s="78">
        <f>COUNTIF(AT5:AT30,"Alive")</f>
        <v>7</v>
      </c>
      <c r="AU33" s="78">
        <f>COUNTIF(AU5:AU30,"Alive")</f>
        <v>7</v>
      </c>
      <c r="AV33" s="78">
        <f>COUNTIF(AV5:AV30,"Alive")</f>
        <v>6</v>
      </c>
      <c r="AW33" s="78">
        <f>COUNTIF(AW5:AW30,"Alive")</f>
        <v>6</v>
      </c>
      <c r="AX33" s="78">
        <f>COUNTIF(AX5:AX30,"Alive")</f>
        <v>6</v>
      </c>
      <c r="AY33" s="78">
        <f>COUNTIF(AY5:AY30,"Alive")</f>
        <v>0</v>
      </c>
      <c r="AZ33" s="78">
        <f>COUNTIF(AZ5:AZ30,"Alive")</f>
        <v>0</v>
      </c>
      <c r="BA33" s="78">
        <f>COUNTIF(BA5:BA30,"Alive")</f>
        <v>0</v>
      </c>
      <c r="BB33" s="3"/>
    </row>
    <row r="34" spans="1:54" ht="14.25" customHeight="1">
      <c r="A34" s="85"/>
      <c r="B34" s="85"/>
      <c r="C34" s="85"/>
      <c r="D34" s="45"/>
      <c r="E34" s="94"/>
      <c r="F34" s="86"/>
      <c r="G34" s="82"/>
      <c r="H34" s="252"/>
      <c r="I34" s="144" t="s">
        <v>51</v>
      </c>
      <c r="J34" s="82">
        <f>COUNTIF(J5:J30,"Censored")</f>
        <v>0</v>
      </c>
      <c r="K34" s="82">
        <f>COUNTIF(K5:K30,"Censored")</f>
        <v>0</v>
      </c>
      <c r="L34" s="82">
        <f>COUNTIF(L5:L30,"Censored")</f>
        <v>0</v>
      </c>
      <c r="M34" s="82">
        <f>COUNTIF(M5:M30,"Censored")</f>
        <v>0</v>
      </c>
      <c r="N34" s="82">
        <f>COUNTIF(N5:N30,"Censored")</f>
        <v>0</v>
      </c>
      <c r="O34" s="82">
        <f>COUNTIF(O5:O30,"Censored")</f>
        <v>0</v>
      </c>
      <c r="P34" s="82">
        <f>COUNTIF(P5:P30,"Censored")</f>
        <v>0</v>
      </c>
      <c r="Q34" s="82">
        <f>COUNTIF(Q5:Q30,"Censored")</f>
        <v>0</v>
      </c>
      <c r="R34" s="82">
        <f>COUNTIF(R5:R30,"Censored")</f>
        <v>0</v>
      </c>
      <c r="S34" s="82">
        <f>COUNTIF(S5:S30,"Censored")</f>
        <v>0</v>
      </c>
      <c r="T34" s="82">
        <f>COUNTIF(T5:T30,"Censored")</f>
        <v>0</v>
      </c>
      <c r="U34" s="82">
        <f>COUNTIF(U5:U30,"Censored")</f>
        <v>0</v>
      </c>
      <c r="V34" s="82">
        <f>COUNTIF(V5:V30,"Censored")</f>
        <v>0</v>
      </c>
      <c r="W34" s="82">
        <f>COUNTIF(W5:W30,"Censored")</f>
        <v>0</v>
      </c>
      <c r="X34" s="82">
        <f>COUNTIF(X5:X30,"Censored")</f>
        <v>0</v>
      </c>
      <c r="Y34" s="82">
        <f>COUNTIF(Y5:Y30,"Censored")</f>
        <v>0</v>
      </c>
      <c r="Z34" s="82">
        <f>COUNTIF(Z5:Z30,"Censored")</f>
        <v>0</v>
      </c>
      <c r="AA34" s="82">
        <f>COUNTIF(AA5:AA30,"Censored")</f>
        <v>0</v>
      </c>
      <c r="AB34" s="82">
        <f>COUNTIF(AB5:AB30,"Censored")</f>
        <v>0</v>
      </c>
      <c r="AC34" s="82">
        <f>COUNTIF(AC5:AC30,"Censored")</f>
        <v>0</v>
      </c>
      <c r="AD34" s="82">
        <f>COUNTIF(AD5:AD30,"Censored")</f>
        <v>0</v>
      </c>
      <c r="AE34" s="82">
        <f>COUNTIF(AE5:AE30,"Censored")</f>
        <v>0</v>
      </c>
      <c r="AF34" s="82">
        <f>COUNTIF(AF5:AF30,"Censored")</f>
        <v>0</v>
      </c>
      <c r="AG34" s="82">
        <f>COUNTIF(AG5:AG30,"Censored")</f>
        <v>0</v>
      </c>
      <c r="AH34" s="82">
        <f>COUNTIF(AH5:AH30,"Censored")</f>
        <v>0</v>
      </c>
      <c r="AI34" s="82">
        <f>COUNTIF(AI5:AI30,"Censored")</f>
        <v>0</v>
      </c>
      <c r="AJ34" s="82">
        <f>COUNTIF(AJ5:AJ30,"Censored")</f>
        <v>0</v>
      </c>
      <c r="AK34" s="82">
        <f>COUNTIF(AK5:AK30,"Censored")</f>
        <v>0</v>
      </c>
      <c r="AL34" s="82">
        <f>COUNTIF(AL5:AL30,"Censored")</f>
        <v>0</v>
      </c>
      <c r="AM34" s="82">
        <f>COUNTIF(AM5:AM30,"Censored")</f>
        <v>0</v>
      </c>
      <c r="AN34" s="82">
        <f>COUNTIF(AN5:AN30,"Censored")</f>
        <v>0</v>
      </c>
      <c r="AO34" s="82">
        <f>COUNTIF(AO5:AO30,"Censored")</f>
        <v>0</v>
      </c>
      <c r="AP34" s="82">
        <f>COUNTIF(AP5:AP30,"Censored")</f>
        <v>0</v>
      </c>
      <c r="AQ34" s="82">
        <f>COUNTIF(AQ5:AQ30,"Censored")</f>
        <v>0</v>
      </c>
      <c r="AR34" s="82">
        <f>COUNTIF(AR5:AR30,"Censored")</f>
        <v>0</v>
      </c>
      <c r="AS34" s="82">
        <f>COUNTIF(AS5:AS30,"Censored")</f>
        <v>0</v>
      </c>
      <c r="AT34" s="82">
        <f>COUNTIF(AT5:AT30,"Censored")</f>
        <v>0</v>
      </c>
      <c r="AU34" s="82">
        <f>COUNTIF(AU5:AU30,"Censored")</f>
        <v>0</v>
      </c>
      <c r="AV34" s="82">
        <f>COUNTIF(AV5:AV30,"Censored")</f>
        <v>0</v>
      </c>
      <c r="AW34" s="82">
        <f>COUNTIF(AW5:AW30,"Censored")</f>
        <v>0</v>
      </c>
      <c r="AX34" s="82">
        <f>COUNTIF(AX5:AX30,"Censored")</f>
        <v>0</v>
      </c>
      <c r="AY34" s="82">
        <f>COUNTIF(AY5:AY30,"Censored")</f>
        <v>0</v>
      </c>
      <c r="AZ34" s="82">
        <f>COUNTIF(AZ5:AZ30,"Censored")</f>
        <v>0</v>
      </c>
      <c r="BA34" s="82">
        <f>COUNTIF(BA5:BA30,"Censored")</f>
        <v>0</v>
      </c>
      <c r="BB34" s="3"/>
    </row>
    <row r="35" spans="1:54" ht="14.25" customHeight="1">
      <c r="A35" s="46"/>
      <c r="B35" s="45"/>
      <c r="C35" s="47"/>
      <c r="D35" s="45"/>
      <c r="E35" s="92"/>
      <c r="F35" s="71"/>
      <c r="G35" s="82"/>
      <c r="H35" s="252"/>
      <c r="I35" s="106" t="s">
        <v>53</v>
      </c>
      <c r="J35" s="74">
        <f>J33/(COUNTIF(J5:J30,"Alive")+COUNTIF(J5:J30,"Sacrificed")+COUNTIF(J5:J30,"Died"))</f>
        <v>1</v>
      </c>
      <c r="K35" s="74">
        <f>K33/(COUNTIF(K5:K30,"Alive")+COUNTIF(K5:K30,"Sacrificed")+COUNTIF(K5:K30,"Died")) *J35</f>
        <v>1</v>
      </c>
      <c r="L35" s="74">
        <f>L33/(COUNTIF(L5:L30,"Alive")+COUNTIF(L5:L30,"Sacrificed")+COUNTIF(L5:L30,"Died")) *K35</f>
        <v>1</v>
      </c>
      <c r="M35" s="74">
        <f>M33/(COUNTIF(M5:M30,"Alive")+COUNTIF(M5:M30,"Sacrificed")+COUNTIF(M5:M30,"Died")) *L35</f>
        <v>1</v>
      </c>
      <c r="N35" s="74">
        <f>N33/(COUNTIF(N5:N30,"Alive")+COUNTIF(N5:N30,"Sacrificed")+COUNTIF(N5:N30,"Died")) *M35</f>
        <v>1</v>
      </c>
      <c r="O35" s="74">
        <f>O33/(COUNTIF(O5:O30,"Alive")+COUNTIF(O5:O30,"Sacrificed")+COUNTIF(O5:O30,"Died")) *N35</f>
        <v>1</v>
      </c>
      <c r="P35" s="74">
        <f>P33/(COUNTIF(P5:P30,"Alive")+COUNTIF(P5:P30,"Sacrificed")+COUNTIF(P5:P30,"Died")) *O35</f>
        <v>1</v>
      </c>
      <c r="Q35" s="74">
        <f>Q33/(COUNTIF(Q5:Q30,"Alive")+COUNTIF(Q5:Q30,"Sacrificed")+COUNTIF(Q5:Q30,"Died")) *P35</f>
        <v>1</v>
      </c>
      <c r="R35" s="74">
        <f>R33/(COUNTIF(R5:R30,"Alive")+COUNTIF(R5:R30,"Sacrificed")+COUNTIF(R5:R30,"Died")) *Q35</f>
        <v>1</v>
      </c>
      <c r="S35" s="74">
        <f>S33/(COUNTIF(S5:S30,"Alive")+COUNTIF(S5:S30,"Sacrificed")+COUNTIF(S5:S30,"Died")) *R35</f>
        <v>0.92307692307692313</v>
      </c>
      <c r="T35" s="74">
        <f>T33/(COUNTIF(T5:T30,"Alive")+COUNTIF(T5:T30,"Sacrificed")+COUNTIF(T5:T30,"Died")) *S35</f>
        <v>0.92307692307692313</v>
      </c>
      <c r="U35" s="74">
        <f>U33/(COUNTIF(U5:U30,"Alive")+COUNTIF(U5:U30,"Sacrificed")+COUNTIF(U5:U30,"Died")) *T35</f>
        <v>0.88461538461538469</v>
      </c>
      <c r="V35" s="74">
        <f>V33/(COUNTIF(V5:V30,"Alive")+COUNTIF(V5:V30,"Sacrificed")+COUNTIF(V5:V30,"Died")) *U35</f>
        <v>0.88461538461538469</v>
      </c>
      <c r="W35" s="74">
        <f>W33/(COUNTIF(W5:W30,"Alive")+COUNTIF(W5:W30,"Sacrificed")+COUNTIF(W5:W30,"Died")) *V35</f>
        <v>0.84615384615384626</v>
      </c>
      <c r="X35" s="74">
        <f>X33/(COUNTIF(X5:X30,"Alive")+COUNTIF(X5:X30,"Sacrificed")+COUNTIF(X5:X30,"Died")) *W35</f>
        <v>0.80769230769230782</v>
      </c>
      <c r="Y35" s="74">
        <f>Y33/(COUNTIF(Y5:Y30,"Alive")+COUNTIF(Y5:Y30,"Sacrificed")+COUNTIF(Y5:Y30,"Died")) *X35</f>
        <v>0.73076923076923084</v>
      </c>
      <c r="Z35" s="74">
        <f>Z33/(COUNTIF(Z5:Z30,"Alive")+COUNTIF(Z5:Z30,"Sacrificed")+COUNTIF(Z5:Z30,"Died")) *Y35</f>
        <v>0.69230769230769229</v>
      </c>
      <c r="AA35" s="74">
        <f>AA33/(COUNTIF(AA5:AA30,"Alive")+COUNTIF(AA5:AA30,"Sacrificed")+COUNTIF(AA5:AA30,"Died")) *Z35</f>
        <v>0.65384615384615385</v>
      </c>
      <c r="AB35" s="74">
        <f>AB33/(COUNTIF(AB5:AB30,"Alive")+COUNTIF(AB5:AB30,"Sacrificed")+COUNTIF(AB5:AB30,"Died")) *AA35</f>
        <v>0.61538461538461542</v>
      </c>
      <c r="AC35" s="74">
        <f>AC33/(COUNTIF(AC5:AC30,"Alive")+COUNTIF(AC5:AC30,"Sacrificed")+COUNTIF(AC5:AC30,"Died")) *AB35</f>
        <v>0.57692307692307698</v>
      </c>
      <c r="AD35" s="74">
        <f>AD33/(COUNTIF(AD5:AD30,"Alive")+COUNTIF(AD5:AD30,"Sacrificed")+COUNTIF(AD5:AD30,"Died")) *AC35</f>
        <v>0.53846153846153855</v>
      </c>
      <c r="AE35" s="74">
        <f>AE33/(COUNTIF(AE5:AE30,"Alive")+COUNTIF(AE5:AE30,"Sacrificed")+COUNTIF(AE5:AE30,"Died")) *AD35</f>
        <v>0.53846153846153855</v>
      </c>
      <c r="AF35" s="74">
        <f>AF33/(COUNTIF(AF5:AF30,"Alive")+COUNTIF(AF5:AF30,"Sacrificed")+COUNTIF(AF5:AF30,"Died")) *AE35</f>
        <v>0.53846153846153855</v>
      </c>
      <c r="AG35" s="74">
        <f>AG33/(COUNTIF(AG5:AG30,"Alive")+COUNTIF(AG5:AG30,"Sacrificed")+COUNTIF(AG5:AG30,"Died")) *AF35</f>
        <v>0.53846153846153855</v>
      </c>
      <c r="AH35" s="74">
        <f>AH33/(COUNTIF(AH5:AH30,"Alive")+COUNTIF(AH5:AH30,"Sacrificed")+COUNTIF(AH5:AH30,"Died")) *AG35</f>
        <v>0.53846153846153855</v>
      </c>
      <c r="AI35" s="74">
        <f>AI33/(COUNTIF(AI5:AI30,"Alive")+COUNTIF(AI5:AI30,"Sacrificed")+COUNTIF(AI5:AI30,"Died")) *AH35</f>
        <v>0.50000000000000011</v>
      </c>
      <c r="AJ35" s="74">
        <f>AJ33/(COUNTIF(AJ5:AJ30,"Alive")+COUNTIF(AJ5:AJ30,"Sacrificed")+COUNTIF(AJ5:AJ30,"Died")) *AI35</f>
        <v>0.42307692307692318</v>
      </c>
      <c r="AK35" s="74">
        <f>AK33/(COUNTIF(AK5:AK30,"Alive")+COUNTIF(AK5:AK30,"Sacrificed")+COUNTIF(AK5:AK30,"Died")) *AJ35</f>
        <v>0.42307692307692318</v>
      </c>
      <c r="AL35" s="74">
        <f>AL33/(COUNTIF(AL5:AL30,"Alive")+COUNTIF(AL5:AL30,"Sacrificed")+COUNTIF(AL5:AL30,"Died")) *AK35</f>
        <v>0.42307692307692318</v>
      </c>
      <c r="AM35" s="74">
        <f>AM33/(COUNTIF(AM5:AM30,"Alive")+COUNTIF(AM5:AM30,"Sacrificed")+COUNTIF(AM5:AM30,"Died")) *AL35</f>
        <v>0.38461538461538469</v>
      </c>
      <c r="AN35" s="74">
        <f>AN33/(COUNTIF(AN5:AN30,"Alive")+COUNTIF(AN5:AN30,"Sacrificed")+COUNTIF(AN5:AN30,"Died")) *AM35</f>
        <v>0.34615384615384626</v>
      </c>
      <c r="AO35" s="74">
        <f>AO33/(COUNTIF(AO5:AO30,"Alive")+COUNTIF(AO5:AO30,"Sacrificed")+COUNTIF(AO5:AO30,"Died")) *AN35</f>
        <v>0.34615384615384626</v>
      </c>
      <c r="AP35" s="74">
        <f>AP33/(COUNTIF(AP5:AP30,"Alive")+COUNTIF(AP5:AP30,"Sacrificed")+COUNTIF(AP5:AP30,"Died")) *AO35</f>
        <v>0.34615384615384626</v>
      </c>
      <c r="AQ35" s="74">
        <f>AQ33/(COUNTIF(AQ5:AQ30,"Alive")+COUNTIF(AQ5:AQ30,"Sacrificed")+COUNTIF(AQ5:AQ30,"Died")) *AP35</f>
        <v>0.34615384615384626</v>
      </c>
      <c r="AR35" s="74">
        <f>AR33/(COUNTIF(AR5:AR30,"Alive")+COUNTIF(AR5:AR30,"Sacrificed")+COUNTIF(AR5:AR30,"Died")) *AQ35</f>
        <v>0.30769230769230776</v>
      </c>
      <c r="AS35" s="74">
        <f>AS33/(COUNTIF(AS5:AS30,"Alive")+COUNTIF(AS5:AS30,"Sacrificed")+COUNTIF(AS5:AS30,"Died")) *AR35</f>
        <v>0.30769230769230776</v>
      </c>
      <c r="AT35" s="74">
        <f>AT33/(COUNTIF(AT5:AT30,"Alive")+COUNTIF(AT5:AT30,"Sacrificed")+COUNTIF(AT5:AT30,"Died")) *AS35</f>
        <v>0.26923076923076927</v>
      </c>
      <c r="AU35" s="74">
        <f>AU33/(COUNTIF(AU5:AU30,"Alive")+COUNTIF(AU5:AU30,"Sacrificed")+COUNTIF(AU5:AU30,"Died")) *AT35</f>
        <v>0.26923076923076927</v>
      </c>
      <c r="AV35" s="74">
        <f>AV33/(COUNTIF(AV5:AV30,"Alive")+COUNTIF(AV5:AV30,"Sacrificed")+COUNTIF(AV5:AV30,"Died")) *AU35</f>
        <v>0.23076923076923078</v>
      </c>
      <c r="AW35" s="74">
        <f>AW33/(COUNTIF(AW5:AW30,"Alive")+COUNTIF(AW5:AW30,"Sacrificed")+COUNTIF(AW5:AW30,"Died")) *AV35</f>
        <v>0.23076923076923078</v>
      </c>
      <c r="AX35" s="74">
        <f>AX33/(COUNTIF(AX5:AX30,"Alive")+COUNTIF(AX5:AX30,"Sacrificed")+COUNTIF(AX5:AX30,"Died")) *AW35</f>
        <v>0.23076923076923078</v>
      </c>
      <c r="AY35" s="74">
        <f>AY33/(COUNTIF(AY5:AY30,"Alive")+COUNTIF(AY5:AY30,"Sacrificed")+COUNTIF(AY5:AY30,"Died")) *AX35</f>
        <v>0</v>
      </c>
      <c r="AZ35" s="74" t="e">
        <f>AZ33/(COUNTIF(AZ5:AZ30,"Alive")+COUNTIF(AZ5:AZ30,"Sacrificed")+COUNTIF(AZ5:AZ30,"Died")) *AY35</f>
        <v>#DIV/0!</v>
      </c>
      <c r="BA35" s="74" t="e">
        <f>BA33/(COUNTIF(BA5:BA30,"Alive")+COUNTIF(BA5:BA30,"Sacrificed")+COUNTIF(BA5:BA30,"Died")) *AZ35</f>
        <v>#DIV/0!</v>
      </c>
      <c r="BB35" s="3"/>
    </row>
    <row r="36" spans="1:54" ht="12.75" customHeight="1">
      <c r="A36" s="113"/>
      <c r="E36" s="93"/>
      <c r="I36" s="45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0"/>
    </row>
    <row r="37" spans="1:54" ht="14.25" customHeight="1">
      <c r="A37" s="113"/>
      <c r="E37" s="118" t="str">
        <f>'FIG6 Groups'!C6</f>
        <v>AsPc-1 - Control</v>
      </c>
      <c r="H37" s="118" t="str">
        <f>E37</f>
        <v>AsPc-1 - Control</v>
      </c>
      <c r="I37" s="106" t="s">
        <v>52</v>
      </c>
      <c r="J37" s="78">
        <f>COUNTIFS($E$5:$E$30,$E37,J$5:J$30,"Alive")</f>
        <v>7</v>
      </c>
      <c r="K37" s="78">
        <f>COUNTIFS($E$5:$E$30,$E37,K$5:K$30,"Alive")</f>
        <v>7</v>
      </c>
      <c r="L37" s="78">
        <f>COUNTIFS($E$5:$E$30,$E37,L$5:L$30,"Alive")</f>
        <v>7</v>
      </c>
      <c r="M37" s="78">
        <f>COUNTIFS($E$5:$E$30,$E37,M$5:M$30,"Alive")</f>
        <v>7</v>
      </c>
      <c r="N37" s="78">
        <f>COUNTIFS($E$5:$E$30,$E37,N$5:N$30,"Alive")</f>
        <v>7</v>
      </c>
      <c r="O37" s="78">
        <f>COUNTIFS($E$5:$E$30,$E37,O$5:O$30,"Alive")</f>
        <v>7</v>
      </c>
      <c r="P37" s="78">
        <f>COUNTIFS($E$5:$E$30,$E37,P$5:P$30,"Alive")</f>
        <v>7</v>
      </c>
      <c r="Q37" s="78">
        <f>COUNTIFS($E$5:$E$30,$E37,Q$5:Q$30,"Alive")</f>
        <v>7</v>
      </c>
      <c r="R37" s="78">
        <f>COUNTIFS($E$5:$E$30,$E37,R$5:R$30,"Alive")</f>
        <v>7</v>
      </c>
      <c r="S37" s="78">
        <f>COUNTIFS($E$5:$E$30,$E37,S$5:S$30,"Alive")</f>
        <v>7</v>
      </c>
      <c r="T37" s="78">
        <f>COUNTIFS($E$5:$E$30,$E37,T$5:T$30,"Alive")</f>
        <v>7</v>
      </c>
      <c r="U37" s="78">
        <f>COUNTIFS($E$5:$E$30,$E37,U$5:U$30,"Alive")</f>
        <v>7</v>
      </c>
      <c r="V37" s="78">
        <f>COUNTIFS($E$5:$E$30,$E37,V$5:V$30,"Alive")</f>
        <v>7</v>
      </c>
      <c r="W37" s="78">
        <f>COUNTIFS($E$5:$E$30,$E37,W$5:W$30,"Alive")</f>
        <v>7</v>
      </c>
      <c r="X37" s="78">
        <f>COUNTIFS($E$5:$E$30,$E37,X$5:X$30,"Alive")</f>
        <v>7</v>
      </c>
      <c r="Y37" s="78">
        <f>COUNTIFS($E$5:$E$30,$E37,Y$5:Y$30,"Alive")</f>
        <v>7</v>
      </c>
      <c r="Z37" s="78">
        <f>COUNTIFS($E$5:$E$30,$E37,Z$5:Z$30,"Alive")</f>
        <v>6</v>
      </c>
      <c r="AA37" s="78">
        <f>COUNTIFS($E$5:$E$30,$E37,AA$5:AA$30,"Alive")</f>
        <v>5</v>
      </c>
      <c r="AB37" s="78">
        <f>COUNTIFS($E$5:$E$30,$E37,AB$5:AB$30,"Alive")</f>
        <v>4</v>
      </c>
      <c r="AC37" s="78">
        <f>COUNTIFS($E$5:$E$30,$E37,AC$5:AC$30,"Alive")</f>
        <v>3</v>
      </c>
      <c r="AD37" s="78">
        <f>COUNTIFS($E$5:$E$30,$E37,AD$5:AD$30,"Alive")</f>
        <v>2</v>
      </c>
      <c r="AE37" s="78">
        <f>COUNTIFS($E$5:$E$30,$E37,AE$5:AE$30,"Alive")</f>
        <v>2</v>
      </c>
      <c r="AF37" s="78">
        <f>COUNTIFS($E$5:$E$30,$E37,AF$5:AF$30,"Alive")</f>
        <v>2</v>
      </c>
      <c r="AG37" s="78">
        <f>COUNTIFS($E$5:$E$30,$E37,AG$5:AG$30,"Alive")</f>
        <v>2</v>
      </c>
      <c r="AH37" s="78">
        <f>COUNTIFS($E$5:$E$30,$E37,AH$5:AH$30,"Alive")</f>
        <v>2</v>
      </c>
      <c r="AI37" s="78">
        <f>COUNTIFS($E$5:$E$30,$E37,AI$5:AI$30,"Alive")</f>
        <v>2</v>
      </c>
      <c r="AJ37" s="78">
        <f>COUNTIFS($E$5:$E$30,$E37,AJ$5:AJ$30,"Alive")</f>
        <v>2</v>
      </c>
      <c r="AK37" s="78">
        <f>COUNTIFS($E$5:$E$30,$E37,AK$5:AK$30,"Alive")</f>
        <v>2</v>
      </c>
      <c r="AL37" s="78">
        <f>COUNTIFS($E$5:$E$30,$E37,AL$5:AL$30,"Alive")</f>
        <v>2</v>
      </c>
      <c r="AM37" s="78">
        <f>COUNTIFS($E$5:$E$30,$E37,AM$5:AM$30,"Alive")</f>
        <v>1</v>
      </c>
      <c r="AN37" s="78">
        <f>COUNTIFS($E$5:$E$30,$E37,AN$5:AN$30,"Alive")</f>
        <v>1</v>
      </c>
      <c r="AO37" s="78">
        <f>COUNTIFS($E$5:$E$30,$E37,AO$5:AO$30,"Alive")</f>
        <v>1</v>
      </c>
      <c r="AP37" s="78">
        <f>COUNTIFS($E$5:$E$30,$E37,AP$5:AP$30,"Alive")</f>
        <v>1</v>
      </c>
      <c r="AQ37" s="78">
        <f>COUNTIFS($E$5:$E$30,$E37,AQ$5:AQ$30,"Alive")</f>
        <v>1</v>
      </c>
      <c r="AR37" s="78">
        <f>COUNTIFS($E$5:$E$30,$E37,AR$5:AR$30,"Alive")</f>
        <v>1</v>
      </c>
      <c r="AS37" s="78">
        <f>COUNTIFS($E$5:$E$30,$E37,AS$5:AS$30,"Alive")</f>
        <v>1</v>
      </c>
      <c r="AT37" s="78">
        <f>COUNTIFS($E$5:$E$30,$E37,AT$5:AT$30,"Alive")</f>
        <v>1</v>
      </c>
      <c r="AU37" s="78">
        <f>COUNTIFS($E$5:$E$30,$E37,AU$5:AU$30,"Alive")</f>
        <v>1</v>
      </c>
      <c r="AV37" s="78">
        <f>COUNTIFS($E$5:$E$30,$E37,AV$5:AV$30,"Alive")</f>
        <v>1</v>
      </c>
      <c r="AW37" s="78">
        <f>COUNTIFS($E$5:$E$30,$E37,AW$5:AW$30,"Alive")</f>
        <v>1</v>
      </c>
      <c r="AX37" s="78">
        <f>COUNTIFS($E$5:$E$30,$E37,AX$5:AX$30,"Alive")</f>
        <v>1</v>
      </c>
      <c r="AY37" s="78">
        <f>COUNTIFS($E$5:$E$30,$E37,AY$5:AY$30,"Alive")</f>
        <v>0</v>
      </c>
      <c r="AZ37" s="78">
        <f>COUNTIFS($E$5:$E$30,$E37,AZ$5:AZ$30,"Alive")</f>
        <v>0</v>
      </c>
      <c r="BA37" s="78">
        <f>COUNTIFS($E$5:$E$30,$E37,BA$5:BA$30,"Alive")</f>
        <v>0</v>
      </c>
      <c r="BB37" s="76"/>
    </row>
    <row r="38" spans="1:54" ht="14.25" customHeight="1">
      <c r="A38" s="113"/>
      <c r="E38" s="93"/>
      <c r="H38" s="93"/>
      <c r="I38" s="144" t="s">
        <v>51</v>
      </c>
      <c r="J38" s="81">
        <f>COUNTIFS($E$5:$E$30,$E37,J$5:J$30,"Censored")</f>
        <v>0</v>
      </c>
      <c r="K38" s="81">
        <f>COUNTIFS($E$5:$E$30,$E37,K$5:K$30,"Censored")</f>
        <v>0</v>
      </c>
      <c r="L38" s="81">
        <f>COUNTIFS($E$5:$E$30,$E37,L$5:L$30,"Censored")</f>
        <v>0</v>
      </c>
      <c r="M38" s="81">
        <f>COUNTIFS($E$5:$E$30,$E37,M$5:M$30,"Censored")</f>
        <v>0</v>
      </c>
      <c r="N38" s="81">
        <f>COUNTIFS($E$5:$E$30,$E37,N$5:N$30,"Censored")</f>
        <v>0</v>
      </c>
      <c r="O38" s="81">
        <f>COUNTIFS($E$5:$E$30,$E37,O$5:O$30,"Censored")</f>
        <v>0</v>
      </c>
      <c r="P38" s="81">
        <f>COUNTIFS($E$5:$E$30,$E37,P$5:P$30,"Censored")</f>
        <v>0</v>
      </c>
      <c r="Q38" s="81">
        <f>COUNTIFS($E$5:$E$30,$E37,Q$5:Q$30,"Censored")</f>
        <v>0</v>
      </c>
      <c r="R38" s="81">
        <f>COUNTIFS($E$5:$E$30,$E37,R$5:R$30,"Censored")</f>
        <v>0</v>
      </c>
      <c r="S38" s="81">
        <f>COUNTIFS($E$5:$E$30,$E37,S$5:S$30,"Censored")</f>
        <v>0</v>
      </c>
      <c r="T38" s="81">
        <f>COUNTIFS($E$5:$E$30,$E37,T$5:T$30,"Censored")</f>
        <v>0</v>
      </c>
      <c r="U38" s="81">
        <f>COUNTIFS($E$5:$E$30,$E37,U$5:U$30,"Censored")</f>
        <v>0</v>
      </c>
      <c r="V38" s="81">
        <f>COUNTIFS($E$5:$E$30,$E37,V$5:V$30,"Censored")</f>
        <v>0</v>
      </c>
      <c r="W38" s="81">
        <f>COUNTIFS($E$5:$E$30,$E37,W$5:W$30,"Censored")</f>
        <v>0</v>
      </c>
      <c r="X38" s="81">
        <f>COUNTIFS($E$5:$E$30,$E37,X$5:X$30,"Censored")</f>
        <v>0</v>
      </c>
      <c r="Y38" s="81">
        <f>COUNTIFS($E$5:$E$30,$E37,Y$5:Y$30,"Censored")</f>
        <v>0</v>
      </c>
      <c r="Z38" s="81">
        <f>COUNTIFS($E$5:$E$30,$E37,Z$5:Z$30,"Censored")</f>
        <v>0</v>
      </c>
      <c r="AA38" s="81">
        <f>COUNTIFS($E$5:$E$30,$E37,AA$5:AA$30,"Censored")</f>
        <v>0</v>
      </c>
      <c r="AB38" s="81">
        <f>COUNTIFS($E$5:$E$30,$E37,AB$5:AB$30,"Censored")</f>
        <v>0</v>
      </c>
      <c r="AC38" s="81">
        <f>COUNTIFS($E$5:$E$30,$E37,AC$5:AC$30,"Censored")</f>
        <v>0</v>
      </c>
      <c r="AD38" s="81">
        <f>COUNTIFS($E$5:$E$30,$E37,AD$5:AD$30,"Censored")</f>
        <v>0</v>
      </c>
      <c r="AE38" s="81">
        <f>COUNTIFS($E$5:$E$30,$E37,AE$5:AE$30,"Censored")</f>
        <v>0</v>
      </c>
      <c r="AF38" s="81">
        <f>COUNTIFS($E$5:$E$30,$E37,AF$5:AF$30,"Censored")</f>
        <v>0</v>
      </c>
      <c r="AG38" s="81">
        <f>COUNTIFS($E$5:$E$30,$E37,AG$5:AG$30,"Censored")</f>
        <v>0</v>
      </c>
      <c r="AH38" s="81">
        <f>COUNTIFS($E$5:$E$30,$E37,AH$5:AH$30,"Censored")</f>
        <v>0</v>
      </c>
      <c r="AI38" s="81">
        <f>COUNTIFS($E$5:$E$30,$E37,AI$5:AI$30,"Censored")</f>
        <v>0</v>
      </c>
      <c r="AJ38" s="81">
        <f>COUNTIFS($E$5:$E$30,$E37,AJ$5:AJ$30,"Censored")</f>
        <v>0</v>
      </c>
      <c r="AK38" s="81">
        <f>COUNTIFS($E$5:$E$30,$E37,AK$5:AK$30,"Censored")</f>
        <v>0</v>
      </c>
      <c r="AL38" s="81">
        <f>COUNTIFS($E$5:$E$30,$E37,AL$5:AL$30,"Censored")</f>
        <v>0</v>
      </c>
      <c r="AM38" s="81">
        <f>COUNTIFS($E$5:$E$30,$E37,AM$5:AM$30,"Censored")</f>
        <v>0</v>
      </c>
      <c r="AN38" s="81">
        <f>COUNTIFS($E$5:$E$30,$E37,AN$5:AN$30,"Censored")</f>
        <v>0</v>
      </c>
      <c r="AO38" s="81">
        <f>COUNTIFS($E$5:$E$30,$E37,AO$5:AO$30,"Censored")</f>
        <v>0</v>
      </c>
      <c r="AP38" s="81">
        <f>COUNTIFS($E$5:$E$30,$E37,AP$5:AP$30,"Censored")</f>
        <v>0</v>
      </c>
      <c r="AQ38" s="81">
        <f>COUNTIFS($E$5:$E$30,$E37,AQ$5:AQ$30,"Censored")</f>
        <v>0</v>
      </c>
      <c r="AR38" s="81">
        <f>COUNTIFS($E$5:$E$30,$E37,AR$5:AR$30,"Censored")</f>
        <v>0</v>
      </c>
      <c r="AS38" s="81">
        <f>COUNTIFS($E$5:$E$30,$E37,AS$5:AS$30,"Censored")</f>
        <v>0</v>
      </c>
      <c r="AT38" s="81">
        <f>COUNTIFS($E$5:$E$30,$E37,AT$5:AT$30,"Censored")</f>
        <v>0</v>
      </c>
      <c r="AU38" s="81">
        <f>COUNTIFS($E$5:$E$30,$E37,AU$5:AU$30,"Censored")</f>
        <v>0</v>
      </c>
      <c r="AV38" s="81">
        <f>COUNTIFS($E$5:$E$30,$E37,AV$5:AV$30,"Censored")</f>
        <v>0</v>
      </c>
      <c r="AW38" s="81">
        <f>COUNTIFS($E$5:$E$30,$E37,AW$5:AW$30,"Censored")</f>
        <v>0</v>
      </c>
      <c r="AX38" s="81">
        <f>COUNTIFS($E$5:$E$30,$E37,AX$5:AX$30,"Censored")</f>
        <v>0</v>
      </c>
      <c r="AY38" s="81">
        <f>COUNTIFS($E$5:$E$30,$E37,AY$5:AY$30,"Censored")</f>
        <v>0</v>
      </c>
      <c r="AZ38" s="81">
        <f>COUNTIFS($E$5:$E$30,$E37,AZ$5:AZ$30,"Censored")</f>
        <v>0</v>
      </c>
      <c r="BA38" s="81">
        <f>COUNTIFS($E$5:$E$30,$E37,BA$5:BA$30,"Censored")</f>
        <v>0</v>
      </c>
      <c r="BB38" s="76"/>
    </row>
    <row r="39" spans="1:54" ht="14.25" customHeight="1">
      <c r="A39" s="46"/>
      <c r="B39" s="45"/>
      <c r="C39" s="47"/>
      <c r="D39" s="45"/>
      <c r="E39" s="92"/>
      <c r="F39" s="71"/>
      <c r="G39" s="82"/>
      <c r="H39" s="93"/>
      <c r="I39" s="144" t="s">
        <v>53</v>
      </c>
      <c r="J39" s="74">
        <f>J37/(COUNTIFS($E$5:$E$30,$E37,J$5:J$30,"Alive")+COUNTIFS($E$5:$E$30,$E37,J$5:J$30,"Sacrificed")+COUNTIFS($E$5:$E$30,$E37,J$5:J$30,"Died"))</f>
        <v>1</v>
      </c>
      <c r="K39" s="74">
        <f>K37/(COUNTIFS($E$5:$E$30,$E37,K$5:K$30,"Alive")+COUNTIFS($E$5:$E$30,$E37,K$5:K$30,"Sacrificed")+COUNTIFS($E$5:$E$30,$E37,K$5:K$30,"Died"))*J39</f>
        <v>1</v>
      </c>
      <c r="L39" s="74">
        <f>L37/(COUNTIFS($E$5:$E$30,$E37,L$5:L$30,"Alive")+COUNTIFS($E$5:$E$30,$E37,L$5:L$30,"Sacrificed")+COUNTIFS($E$5:$E$30,$E37,L$5:L$30,"Died"))*K39</f>
        <v>1</v>
      </c>
      <c r="M39" s="74">
        <f>M37/(COUNTIFS($E$5:$E$30,$E37,M$5:M$30,"Alive")+COUNTIFS($E$5:$E$30,$E37,M$5:M$30,"Sacrificed")+COUNTIFS($E$5:$E$30,$E37,M$5:M$30,"Died"))*L39</f>
        <v>1</v>
      </c>
      <c r="N39" s="74">
        <f>N37/(COUNTIFS($E$5:$E$30,$E37,N$5:N$30,"Alive")+COUNTIFS($E$5:$E$30,$E37,N$5:N$30,"Sacrificed")+COUNTIFS($E$5:$E$30,$E37,N$5:N$30,"Died"))*M39</f>
        <v>1</v>
      </c>
      <c r="O39" s="74">
        <f>O37/(COUNTIFS($E$5:$E$30,$E37,O$5:O$30,"Alive")+COUNTIFS($E$5:$E$30,$E37,O$5:O$30,"Sacrificed")+COUNTIFS($E$5:$E$30,$E37,O$5:O$30,"Died"))*N39</f>
        <v>1</v>
      </c>
      <c r="P39" s="74">
        <f>P37/(COUNTIFS($E$5:$E$30,$E37,P$5:P$30,"Alive")+COUNTIFS($E$5:$E$30,$E37,P$5:P$30,"Sacrificed")+COUNTIFS($E$5:$E$30,$E37,P$5:P$30,"Died"))*O39</f>
        <v>1</v>
      </c>
      <c r="Q39" s="74">
        <f>Q37/(COUNTIFS($E$5:$E$30,$E37,Q$5:Q$30,"Alive")+COUNTIFS($E$5:$E$30,$E37,Q$5:Q$30,"Sacrificed")+COUNTIFS($E$5:$E$30,$E37,Q$5:Q$30,"Died"))*P39</f>
        <v>1</v>
      </c>
      <c r="R39" s="74">
        <f>R37/(COUNTIFS($E$5:$E$30,$E37,R$5:R$30,"Alive")+COUNTIFS($E$5:$E$30,$E37,R$5:R$30,"Sacrificed")+COUNTIFS($E$5:$E$30,$E37,R$5:R$30,"Died"))*Q39</f>
        <v>1</v>
      </c>
      <c r="S39" s="74">
        <f>S37/(COUNTIFS($E$5:$E$30,$E37,S$5:S$30,"Alive")+COUNTIFS($E$5:$E$30,$E37,S$5:S$30,"Sacrificed")+COUNTIFS($E$5:$E$30,$E37,S$5:S$30,"Died"))*R39</f>
        <v>1</v>
      </c>
      <c r="T39" s="74">
        <f>T37/(COUNTIFS($E$5:$E$30,$E37,T$5:T$30,"Alive")+COUNTIFS($E$5:$E$30,$E37,T$5:T$30,"Sacrificed")+COUNTIFS($E$5:$E$30,$E37,T$5:T$30,"Died"))*S39</f>
        <v>1</v>
      </c>
      <c r="U39" s="74">
        <f>U37/(COUNTIFS($E$5:$E$30,$E37,U$5:U$30,"Alive")+COUNTIFS($E$5:$E$30,$E37,U$5:U$30,"Sacrificed")+COUNTIFS($E$5:$E$30,$E37,U$5:U$30,"Died"))*T39</f>
        <v>1</v>
      </c>
      <c r="V39" s="74">
        <f>V37/(COUNTIFS($E$5:$E$30,$E37,V$5:V$30,"Alive")+COUNTIFS($E$5:$E$30,$E37,V$5:V$30,"Sacrificed")+COUNTIFS($E$5:$E$30,$E37,V$5:V$30,"Died"))*U39</f>
        <v>1</v>
      </c>
      <c r="W39" s="74">
        <f>W37/(COUNTIFS($E$5:$E$30,$E37,W$5:W$30,"Alive")+COUNTIFS($E$5:$E$30,$E37,W$5:W$30,"Sacrificed")+COUNTIFS($E$5:$E$30,$E37,W$5:W$30,"Died"))*V39</f>
        <v>1</v>
      </c>
      <c r="X39" s="74">
        <f>X37/(COUNTIFS($E$5:$E$30,$E37,X$5:X$30,"Alive")+COUNTIFS($E$5:$E$30,$E37,X$5:X$30,"Sacrificed")+COUNTIFS($E$5:$E$30,$E37,X$5:X$30,"Died"))*W39</f>
        <v>1</v>
      </c>
      <c r="Y39" s="74">
        <f>Y37/(COUNTIFS($E$5:$E$30,$E37,Y$5:Y$30,"Alive")+COUNTIFS($E$5:$E$30,$E37,Y$5:Y$30,"Sacrificed")+COUNTIFS($E$5:$E$30,$E37,Y$5:Y$30,"Died"))*X39</f>
        <v>1</v>
      </c>
      <c r="Z39" s="74">
        <f>Z37/(COUNTIFS($E$5:$E$30,$E37,Z$5:Z$30,"Alive")+COUNTIFS($E$5:$E$30,$E37,Z$5:Z$30,"Sacrificed")+COUNTIFS($E$5:$E$30,$E37,Z$5:Z$30,"Died"))*Y39</f>
        <v>0.8571428571428571</v>
      </c>
      <c r="AA39" s="74">
        <f>AA37/(COUNTIFS($E$5:$E$30,$E37,AA$5:AA$30,"Alive")+COUNTIFS($E$5:$E$30,$E37,AA$5:AA$30,"Sacrificed")+COUNTIFS($E$5:$E$30,$E37,AA$5:AA$30,"Died"))*Z39</f>
        <v>0.7142857142857143</v>
      </c>
      <c r="AB39" s="74">
        <f>AB37/(COUNTIFS($E$5:$E$30,$E37,AB$5:AB$30,"Alive")+COUNTIFS($E$5:$E$30,$E37,AB$5:AB$30,"Sacrificed")+COUNTIFS($E$5:$E$30,$E37,AB$5:AB$30,"Died"))*AA39</f>
        <v>0.57142857142857151</v>
      </c>
      <c r="AC39" s="74">
        <f>AC37/(COUNTIFS($E$5:$E$30,$E37,AC$5:AC$30,"Alive")+COUNTIFS($E$5:$E$30,$E37,AC$5:AC$30,"Sacrificed")+COUNTIFS($E$5:$E$30,$E37,AC$5:AC$30,"Died"))*AB39</f>
        <v>0.4285714285714286</v>
      </c>
      <c r="AD39" s="74">
        <f>AD37/(COUNTIFS($E$5:$E$30,$E37,AD$5:AD$30,"Alive")+COUNTIFS($E$5:$E$30,$E37,AD$5:AD$30,"Sacrificed")+COUNTIFS($E$5:$E$30,$E37,AD$5:AD$30,"Died"))*AC39</f>
        <v>0.2857142857142857</v>
      </c>
      <c r="AE39" s="74">
        <f>AE37/(COUNTIFS($E$5:$E$30,$E37,AE$5:AE$30,"Alive")+COUNTIFS($E$5:$E$30,$E37,AE$5:AE$30,"Sacrificed")+COUNTIFS($E$5:$E$30,$E37,AE$5:AE$30,"Died"))*AD39</f>
        <v>0.2857142857142857</v>
      </c>
      <c r="AF39" s="74">
        <f>AF37/(COUNTIFS($E$5:$E$30,$E37,AF$5:AF$30,"Alive")+COUNTIFS($E$5:$E$30,$E37,AF$5:AF$30,"Sacrificed")+COUNTIFS($E$5:$E$30,$E37,AF$5:AF$30,"Died"))*AE39</f>
        <v>0.2857142857142857</v>
      </c>
      <c r="AG39" s="74">
        <f>AG37/(COUNTIFS($E$5:$E$30,$E37,AG$5:AG$30,"Alive")+COUNTIFS($E$5:$E$30,$E37,AG$5:AG$30,"Sacrificed")+COUNTIFS($E$5:$E$30,$E37,AG$5:AG$30,"Died"))*AF39</f>
        <v>0.2857142857142857</v>
      </c>
      <c r="AH39" s="74">
        <f>AH37/(COUNTIFS($E$5:$E$30,$E37,AH$5:AH$30,"Alive")+COUNTIFS($E$5:$E$30,$E37,AH$5:AH$30,"Sacrificed")+COUNTIFS($E$5:$E$30,$E37,AH$5:AH$30,"Died"))*AG39</f>
        <v>0.2857142857142857</v>
      </c>
      <c r="AI39" s="74">
        <f>AI37/(COUNTIFS($E$5:$E$30,$E37,AI$5:AI$30,"Alive")+COUNTIFS($E$5:$E$30,$E37,AI$5:AI$30,"Sacrificed")+COUNTIFS($E$5:$E$30,$E37,AI$5:AI$30,"Died"))*AH39</f>
        <v>0.2857142857142857</v>
      </c>
      <c r="AJ39" s="74">
        <f>AJ37/(COUNTIFS($E$5:$E$30,$E37,AJ$5:AJ$30,"Alive")+COUNTIFS($E$5:$E$30,$E37,AJ$5:AJ$30,"Sacrificed")+COUNTIFS($E$5:$E$30,$E37,AJ$5:AJ$30,"Died"))*AI39</f>
        <v>0.2857142857142857</v>
      </c>
      <c r="AK39" s="74">
        <f>AK37/(COUNTIFS($E$5:$E$30,$E37,AK$5:AK$30,"Alive")+COUNTIFS($E$5:$E$30,$E37,AK$5:AK$30,"Sacrificed")+COUNTIFS($E$5:$E$30,$E37,AK$5:AK$30,"Died"))*AJ39</f>
        <v>0.2857142857142857</v>
      </c>
      <c r="AL39" s="74">
        <f>AL37/(COUNTIFS($E$5:$E$30,$E37,AL$5:AL$30,"Alive")+COUNTIFS($E$5:$E$30,$E37,AL$5:AL$30,"Sacrificed")+COUNTIFS($E$5:$E$30,$E37,AL$5:AL$30,"Died"))*AK39</f>
        <v>0.2857142857142857</v>
      </c>
      <c r="AM39" s="74">
        <f>AM37/(COUNTIFS($E$5:$E$30,$E37,AM$5:AM$30,"Alive")+COUNTIFS($E$5:$E$30,$E37,AM$5:AM$30,"Sacrificed")+COUNTIFS($E$5:$E$30,$E37,AM$5:AM$30,"Died"))*AL39</f>
        <v>0.14285714285714285</v>
      </c>
      <c r="AN39" s="74">
        <f>AN37/(COUNTIFS($E$5:$E$30,$E37,AN$5:AN$30,"Alive")+COUNTIFS($E$5:$E$30,$E37,AN$5:AN$30,"Sacrificed")+COUNTIFS($E$5:$E$30,$E37,AN$5:AN$30,"Died"))*AM39</f>
        <v>0.14285714285714285</v>
      </c>
      <c r="AO39" s="74">
        <f>AO37/(COUNTIFS($E$5:$E$30,$E37,AO$5:AO$30,"Alive")+COUNTIFS($E$5:$E$30,$E37,AO$5:AO$30,"Sacrificed")+COUNTIFS($E$5:$E$30,$E37,AO$5:AO$30,"Died"))*AN39</f>
        <v>0.14285714285714285</v>
      </c>
      <c r="AP39" s="74">
        <f>AP37/(COUNTIFS($E$5:$E$30,$E37,AP$5:AP$30,"Alive")+COUNTIFS($E$5:$E$30,$E37,AP$5:AP$30,"Sacrificed")+COUNTIFS($E$5:$E$30,$E37,AP$5:AP$30,"Died"))*AO39</f>
        <v>0.14285714285714285</v>
      </c>
      <c r="AQ39" s="74">
        <f>AQ37/(COUNTIFS($E$5:$E$30,$E37,AQ$5:AQ$30,"Alive")+COUNTIFS($E$5:$E$30,$E37,AQ$5:AQ$30,"Sacrificed")+COUNTIFS($E$5:$E$30,$E37,AQ$5:AQ$30,"Died"))*AP39</f>
        <v>0.14285714285714285</v>
      </c>
      <c r="AR39" s="74">
        <f>AR37/(COUNTIFS($E$5:$E$30,$E37,AR$5:AR$30,"Alive")+COUNTIFS($E$5:$E$30,$E37,AR$5:AR$30,"Sacrificed")+COUNTIFS($E$5:$E$30,$E37,AR$5:AR$30,"Died"))*AQ39</f>
        <v>0.14285714285714285</v>
      </c>
      <c r="AS39" s="74">
        <f>AS37/(COUNTIFS($E$5:$E$30,$E37,AS$5:AS$30,"Alive")+COUNTIFS($E$5:$E$30,$E37,AS$5:AS$30,"Sacrificed")+COUNTIFS($E$5:$E$30,$E37,AS$5:AS$30,"Died"))*AR39</f>
        <v>0.14285714285714285</v>
      </c>
      <c r="AT39" s="74">
        <f>AT37/(COUNTIFS($E$5:$E$30,$E37,AT$5:AT$30,"Alive")+COUNTIFS($E$5:$E$30,$E37,AT$5:AT$30,"Sacrificed")+COUNTIFS($E$5:$E$30,$E37,AT$5:AT$30,"Died"))*AS39</f>
        <v>0.14285714285714285</v>
      </c>
      <c r="AU39" s="74">
        <f>AU37/(COUNTIFS($E$5:$E$30,$E37,AU$5:AU$30,"Alive")+COUNTIFS($E$5:$E$30,$E37,AU$5:AU$30,"Sacrificed")+COUNTIFS($E$5:$E$30,$E37,AU$5:AU$30,"Died"))*AT39</f>
        <v>0.14285714285714285</v>
      </c>
      <c r="AV39" s="74">
        <f>AV37/(COUNTIFS($E$5:$E$30,$E37,AV$5:AV$30,"Alive")+COUNTIFS($E$5:$E$30,$E37,AV$5:AV$30,"Sacrificed")+COUNTIFS($E$5:$E$30,$E37,AV$5:AV$30,"Died"))*AU39</f>
        <v>0.14285714285714285</v>
      </c>
      <c r="AW39" s="74">
        <f>AW37/(COUNTIFS($E$5:$E$30,$E37,AW$5:AW$30,"Alive")+COUNTIFS($E$5:$E$30,$E37,AW$5:AW$30,"Sacrificed")+COUNTIFS($E$5:$E$30,$E37,AW$5:AW$30,"Died"))*AV39</f>
        <v>0.14285714285714285</v>
      </c>
      <c r="AX39" s="74">
        <f>AX37/(COUNTIFS($E$5:$E$30,$E37,AX$5:AX$30,"Alive")+COUNTIFS($E$5:$E$30,$E37,AX$5:AX$30,"Sacrificed")+COUNTIFS($E$5:$E$30,$E37,AX$5:AX$30,"Died"))*AW39</f>
        <v>0.14285714285714285</v>
      </c>
      <c r="AY39" s="74">
        <f>AY37/(COUNTIFS($E$5:$E$30,$E37,AY$5:AY$30,"Alive")+COUNTIFS($E$5:$E$30,$E37,AY$5:AY$30,"Sacrificed")+COUNTIFS($E$5:$E$30,$E37,AY$5:AY$30,"Died"))*AX39</f>
        <v>0</v>
      </c>
      <c r="AZ39" s="74" t="e">
        <f>AZ37/(COUNTIFS($E$5:$E$30,$E37,AZ$5:AZ$30,"Alive")+COUNTIFS($E$5:$E$30,$E37,AZ$5:AZ$30,"Sacrificed")+COUNTIFS($E$5:$E$30,$E37,AZ$5:AZ$30,"Died"))*AY39</f>
        <v>#DIV/0!</v>
      </c>
      <c r="BA39" s="74" t="e">
        <f>BA37/(COUNTIFS($E$5:$E$30,$E37,BA$5:BA$30,"Alive")+COUNTIFS($E$5:$E$30,$E37,BA$5:BA$30,"Sacrificed")+COUNTIFS($E$5:$E$30,$E37,BA$5:BA$30,"Died"))*AZ39</f>
        <v>#DIV/0!</v>
      </c>
      <c r="BB39" s="3"/>
    </row>
    <row r="40" spans="1:54" ht="15">
      <c r="A40" s="113"/>
      <c r="E40" s="52"/>
      <c r="H40" s="52"/>
    </row>
    <row r="41" spans="1:54" ht="14.25" customHeight="1">
      <c r="A41" s="113"/>
      <c r="E41" s="118" t="str">
        <f>'FIG6 Groups'!C7</f>
        <v>AsPc-1 - CP-PTX Combo</v>
      </c>
      <c r="H41" s="118" t="str">
        <f>E41</f>
        <v>AsPc-1 - CP-PTX Combo</v>
      </c>
      <c r="I41" s="144" t="s">
        <v>52</v>
      </c>
      <c r="J41" s="78">
        <f>COUNTIFS($E$5:$E$30,$E41,J$5:J$30,"Alive")</f>
        <v>6</v>
      </c>
      <c r="K41" s="78">
        <f>COUNTIFS($E$5:$E$30,$E41,K$5:K$30,"Alive")</f>
        <v>6</v>
      </c>
      <c r="L41" s="78">
        <f>COUNTIFS($E$5:$E$30,$E41,L$5:L$30,"Alive")</f>
        <v>6</v>
      </c>
      <c r="M41" s="78">
        <f>COUNTIFS($E$5:$E$30,$E41,M$5:M$30,"Alive")</f>
        <v>6</v>
      </c>
      <c r="N41" s="78">
        <f>COUNTIFS($E$5:$E$30,$E41,N$5:N$30,"Alive")</f>
        <v>6</v>
      </c>
      <c r="O41" s="78">
        <f>COUNTIFS($E$5:$E$30,$E41,O$5:O$30,"Alive")</f>
        <v>6</v>
      </c>
      <c r="P41" s="78">
        <f>COUNTIFS($E$5:$E$30,$E41,P$5:P$30,"Alive")</f>
        <v>6</v>
      </c>
      <c r="Q41" s="78">
        <f>COUNTIFS($E$5:$E$30,$E41,Q$5:Q$30,"Alive")</f>
        <v>6</v>
      </c>
      <c r="R41" s="78">
        <f>COUNTIFS($E$5:$E$30,$E41,R$5:R$30,"Alive")</f>
        <v>6</v>
      </c>
      <c r="S41" s="78">
        <f>COUNTIFS($E$5:$E$30,$E41,S$5:S$30,"Alive")</f>
        <v>6</v>
      </c>
      <c r="T41" s="78">
        <f>COUNTIFS($E$5:$E$30,$E41,T$5:T$30,"Alive")</f>
        <v>6</v>
      </c>
      <c r="U41" s="78">
        <f>COUNTIFS($E$5:$E$30,$E41,U$5:U$30,"Alive")</f>
        <v>6</v>
      </c>
      <c r="V41" s="78">
        <f>COUNTIFS($E$5:$E$30,$E41,V$5:V$30,"Alive")</f>
        <v>6</v>
      </c>
      <c r="W41" s="78">
        <f>COUNTIFS($E$5:$E$30,$E41,W$5:W$30,"Alive")</f>
        <v>6</v>
      </c>
      <c r="X41" s="78">
        <f>COUNTIFS($E$5:$E$30,$E41,X$5:X$30,"Alive")</f>
        <v>6</v>
      </c>
      <c r="Y41" s="78">
        <f>COUNTIFS($E$5:$E$30,$E41,Y$5:Y$30,"Alive")</f>
        <v>6</v>
      </c>
      <c r="Z41" s="78">
        <f>COUNTIFS($E$5:$E$30,$E41,Z$5:Z$30,"Alive")</f>
        <v>6</v>
      </c>
      <c r="AA41" s="78">
        <f>COUNTIFS($E$5:$E$30,$E41,AA$5:AA$30,"Alive")</f>
        <v>6</v>
      </c>
      <c r="AB41" s="78">
        <f>COUNTIFS($E$5:$E$30,$E41,AB$5:AB$30,"Alive")</f>
        <v>6</v>
      </c>
      <c r="AC41" s="78">
        <f>COUNTIFS($E$5:$E$30,$E41,AC$5:AC$30,"Alive")</f>
        <v>6</v>
      </c>
      <c r="AD41" s="78">
        <f>COUNTIFS($E$5:$E$30,$E41,AD$5:AD$30,"Alive")</f>
        <v>6</v>
      </c>
      <c r="AE41" s="78">
        <f>COUNTIFS($E$5:$E$30,$E41,AE$5:AE$30,"Alive")</f>
        <v>6</v>
      </c>
      <c r="AF41" s="78">
        <f>COUNTIFS($E$5:$E$30,$E41,AF$5:AF$30,"Alive")</f>
        <v>6</v>
      </c>
      <c r="AG41" s="78">
        <f>COUNTIFS($E$5:$E$30,$E41,AG$5:AG$30,"Alive")</f>
        <v>6</v>
      </c>
      <c r="AH41" s="78">
        <f>COUNTIFS($E$5:$E$30,$E41,AH$5:AH$30,"Alive")</f>
        <v>6</v>
      </c>
      <c r="AI41" s="78">
        <f>COUNTIFS($E$5:$E$30,$E41,AI$5:AI$30,"Alive")</f>
        <v>6</v>
      </c>
      <c r="AJ41" s="78">
        <f>COUNTIFS($E$5:$E$30,$E41,AJ$5:AJ$30,"Alive")</f>
        <v>5</v>
      </c>
      <c r="AK41" s="78">
        <f>COUNTIFS($E$5:$E$30,$E41,AK$5:AK$30,"Alive")</f>
        <v>5</v>
      </c>
      <c r="AL41" s="78">
        <f>COUNTIFS($E$5:$E$30,$E41,AL$5:AL$30,"Alive")</f>
        <v>5</v>
      </c>
      <c r="AM41" s="78">
        <f>COUNTIFS($E$5:$E$30,$E41,AM$5:AM$30,"Alive")</f>
        <v>5</v>
      </c>
      <c r="AN41" s="78">
        <f>COUNTIFS($E$5:$E$30,$E41,AN$5:AN$30,"Alive")</f>
        <v>4</v>
      </c>
      <c r="AO41" s="78">
        <f>COUNTIFS($E$5:$E$30,$E41,AO$5:AO$30,"Alive")</f>
        <v>4</v>
      </c>
      <c r="AP41" s="78">
        <f>COUNTIFS($E$5:$E$30,$E41,AP$5:AP$30,"Alive")</f>
        <v>4</v>
      </c>
      <c r="AQ41" s="78">
        <f>COUNTIFS($E$5:$E$30,$E41,AQ$5:AQ$30,"Alive")</f>
        <v>4</v>
      </c>
      <c r="AR41" s="78">
        <f>COUNTIFS($E$5:$E$30,$E41,AR$5:AR$30,"Alive")</f>
        <v>3</v>
      </c>
      <c r="AS41" s="78">
        <f>COUNTIFS($E$5:$E$30,$E41,AS$5:AS$30,"Alive")</f>
        <v>3</v>
      </c>
      <c r="AT41" s="78">
        <f>COUNTIFS($E$5:$E$30,$E41,AT$5:AT$30,"Alive")</f>
        <v>3</v>
      </c>
      <c r="AU41" s="78">
        <f>COUNTIFS($E$5:$E$30,$E41,AU$5:AU$30,"Alive")</f>
        <v>3</v>
      </c>
      <c r="AV41" s="78">
        <f>COUNTIFS($E$5:$E$30,$E41,AV$5:AV$30,"Alive")</f>
        <v>2</v>
      </c>
      <c r="AW41" s="78">
        <f>COUNTIFS($E$5:$E$30,$E41,AW$5:AW$30,"Alive")</f>
        <v>2</v>
      </c>
      <c r="AX41" s="78">
        <f>COUNTIFS($E$5:$E$30,$E41,AX$5:AX$30,"Alive")</f>
        <v>2</v>
      </c>
      <c r="AY41" s="78">
        <f>COUNTIFS($E$5:$E$30,$E41,AY$5:AY$30,"Alive")</f>
        <v>0</v>
      </c>
      <c r="AZ41" s="78">
        <f>COUNTIFS($E$5:$E$30,$E41,AZ$5:AZ$30,"Alive")</f>
        <v>0</v>
      </c>
      <c r="BA41" s="78">
        <f>COUNTIFS($E$5:$E$30,$E41,BA$5:BA$30,"Alive")</f>
        <v>0</v>
      </c>
      <c r="BB41" s="76"/>
    </row>
    <row r="42" spans="1:54" ht="14.25" customHeight="1">
      <c r="A42" s="113"/>
      <c r="E42" s="93"/>
      <c r="H42" s="93"/>
      <c r="I42" s="144" t="s">
        <v>51</v>
      </c>
      <c r="J42" s="81">
        <f>COUNTIFS($E$5:$E$30,$E41,J$5:J$30,"Censored")</f>
        <v>0</v>
      </c>
      <c r="K42" s="81">
        <f>COUNTIFS($E$5:$E$30,$E41,K$5:K$30,"Censored")</f>
        <v>0</v>
      </c>
      <c r="L42" s="81">
        <f>COUNTIFS($E$5:$E$30,$E41,L$5:L$30,"Censored")</f>
        <v>0</v>
      </c>
      <c r="M42" s="81">
        <f>COUNTIFS($E$5:$E$30,$E41,M$5:M$30,"Censored")</f>
        <v>0</v>
      </c>
      <c r="N42" s="81">
        <f>COUNTIFS($E$5:$E$30,$E41,N$5:N$30,"Censored")</f>
        <v>0</v>
      </c>
      <c r="O42" s="81">
        <f>COUNTIFS($E$5:$E$30,$E41,O$5:O$30,"Censored")</f>
        <v>0</v>
      </c>
      <c r="P42" s="81">
        <f>COUNTIFS($E$5:$E$30,$E41,P$5:P$30,"Censored")</f>
        <v>0</v>
      </c>
      <c r="Q42" s="81">
        <f>COUNTIFS($E$5:$E$30,$E41,Q$5:Q$30,"Censored")</f>
        <v>0</v>
      </c>
      <c r="R42" s="81">
        <f>COUNTIFS($E$5:$E$30,$E41,R$5:R$30,"Censored")</f>
        <v>0</v>
      </c>
      <c r="S42" s="81">
        <f>COUNTIFS($E$5:$E$30,$E41,S$5:S$30,"Censored")</f>
        <v>0</v>
      </c>
      <c r="T42" s="81">
        <f>COUNTIFS($E$5:$E$30,$E41,T$5:T$30,"Censored")</f>
        <v>0</v>
      </c>
      <c r="U42" s="81">
        <f>COUNTIFS($E$5:$E$30,$E41,U$5:U$30,"Censored")</f>
        <v>0</v>
      </c>
      <c r="V42" s="81">
        <f>COUNTIFS($E$5:$E$30,$E41,V$5:V$30,"Censored")</f>
        <v>0</v>
      </c>
      <c r="W42" s="81">
        <f>COUNTIFS($E$5:$E$30,$E41,W$5:W$30,"Censored")</f>
        <v>0</v>
      </c>
      <c r="X42" s="81">
        <f>COUNTIFS($E$5:$E$30,$E41,X$5:X$30,"Censored")</f>
        <v>0</v>
      </c>
      <c r="Y42" s="81">
        <f>COUNTIFS($E$5:$E$30,$E41,Y$5:Y$30,"Censored")</f>
        <v>0</v>
      </c>
      <c r="Z42" s="81">
        <f>COUNTIFS($E$5:$E$30,$E41,Z$5:Z$30,"Censored")</f>
        <v>0</v>
      </c>
      <c r="AA42" s="81">
        <f>COUNTIFS($E$5:$E$30,$E41,AA$5:AA$30,"Censored")</f>
        <v>0</v>
      </c>
      <c r="AB42" s="81">
        <f>COUNTIFS($E$5:$E$30,$E41,AB$5:AB$30,"Censored")</f>
        <v>0</v>
      </c>
      <c r="AC42" s="81">
        <f>COUNTIFS($E$5:$E$30,$E41,AC$5:AC$30,"Censored")</f>
        <v>0</v>
      </c>
      <c r="AD42" s="81">
        <f>COUNTIFS($E$5:$E$30,$E41,AD$5:AD$30,"Censored")</f>
        <v>0</v>
      </c>
      <c r="AE42" s="81">
        <f>COUNTIFS($E$5:$E$30,$E41,AE$5:AE$30,"Censored")</f>
        <v>0</v>
      </c>
      <c r="AF42" s="81">
        <f>COUNTIFS($E$5:$E$30,$E41,AF$5:AF$30,"Censored")</f>
        <v>0</v>
      </c>
      <c r="AG42" s="81">
        <f>COUNTIFS($E$5:$E$30,$E41,AG$5:AG$30,"Censored")</f>
        <v>0</v>
      </c>
      <c r="AH42" s="81">
        <f>COUNTIFS($E$5:$E$30,$E41,AH$5:AH$30,"Censored")</f>
        <v>0</v>
      </c>
      <c r="AI42" s="81">
        <f>COUNTIFS($E$5:$E$30,$E41,AI$5:AI$30,"Censored")</f>
        <v>0</v>
      </c>
      <c r="AJ42" s="81">
        <f>COUNTIFS($E$5:$E$30,$E41,AJ$5:AJ$30,"Censored")</f>
        <v>0</v>
      </c>
      <c r="AK42" s="81">
        <f>COUNTIFS($E$5:$E$30,$E41,AK$5:AK$30,"Censored")</f>
        <v>0</v>
      </c>
      <c r="AL42" s="81">
        <f>COUNTIFS($E$5:$E$30,$E41,AL$5:AL$30,"Censored")</f>
        <v>0</v>
      </c>
      <c r="AM42" s="81">
        <f>COUNTIFS($E$5:$E$30,$E41,AM$5:AM$30,"Censored")</f>
        <v>0</v>
      </c>
      <c r="AN42" s="81">
        <f>COUNTIFS($E$5:$E$30,$E41,AN$5:AN$30,"Censored")</f>
        <v>0</v>
      </c>
      <c r="AO42" s="81">
        <f>COUNTIFS($E$5:$E$30,$E41,AO$5:AO$30,"Censored")</f>
        <v>0</v>
      </c>
      <c r="AP42" s="81">
        <f>COUNTIFS($E$5:$E$30,$E41,AP$5:AP$30,"Censored")</f>
        <v>0</v>
      </c>
      <c r="AQ42" s="81">
        <f>COUNTIFS($E$5:$E$30,$E41,AQ$5:AQ$30,"Censored")</f>
        <v>0</v>
      </c>
      <c r="AR42" s="81">
        <f>COUNTIFS($E$5:$E$30,$E41,AR$5:AR$30,"Censored")</f>
        <v>0</v>
      </c>
      <c r="AS42" s="81">
        <f>COUNTIFS($E$5:$E$30,$E41,AS$5:AS$30,"Censored")</f>
        <v>0</v>
      </c>
      <c r="AT42" s="81">
        <f>COUNTIFS($E$5:$E$30,$E41,AT$5:AT$30,"Censored")</f>
        <v>0</v>
      </c>
      <c r="AU42" s="81">
        <f>COUNTIFS($E$5:$E$30,$E41,AU$5:AU$30,"Censored")</f>
        <v>0</v>
      </c>
      <c r="AV42" s="81">
        <f>COUNTIFS($E$5:$E$30,$E41,AV$5:AV$30,"Censored")</f>
        <v>0</v>
      </c>
      <c r="AW42" s="81">
        <f>COUNTIFS($E$5:$E$30,$E41,AW$5:AW$30,"Censored")</f>
        <v>0</v>
      </c>
      <c r="AX42" s="81">
        <f>COUNTIFS($E$5:$E$30,$E41,AX$5:AX$30,"Censored")</f>
        <v>0</v>
      </c>
      <c r="AY42" s="81">
        <f>COUNTIFS($E$5:$E$30,$E41,AY$5:AY$30,"Censored")</f>
        <v>0</v>
      </c>
      <c r="AZ42" s="81">
        <f>COUNTIFS($E$5:$E$30,$E41,AZ$5:AZ$30,"Censored")</f>
        <v>0</v>
      </c>
      <c r="BA42" s="81">
        <f>COUNTIFS($E$5:$E$30,$E41,BA$5:BA$30,"Censored")</f>
        <v>0</v>
      </c>
      <c r="BB42" s="76"/>
    </row>
    <row r="43" spans="1:54" ht="14.25" customHeight="1">
      <c r="A43" s="46"/>
      <c r="B43" s="45"/>
      <c r="C43" s="47"/>
      <c r="D43" s="45"/>
      <c r="E43" s="92"/>
      <c r="F43" s="71"/>
      <c r="G43" s="82"/>
      <c r="H43" s="93"/>
      <c r="I43" s="144" t="s">
        <v>53</v>
      </c>
      <c r="J43" s="74">
        <f>J41/(COUNTIFS($E$5:$E$30,$E41,J$5:J$30,"Alive")+COUNTIFS($E$5:$E$30,$E41,J$5:J$30,"Sacrificed")+COUNTIFS($E$5:$E$30,$E41,J$5:J$30,"Died"))</f>
        <v>1</v>
      </c>
      <c r="K43" s="74">
        <f>K41/(COUNTIFS($E$5:$E$30,$E41,K$5:K$30,"Alive")+COUNTIFS($E$5:$E$30,$E41,K$5:K$30,"Sacrificed")+COUNTIFS($E$5:$E$30,$E41,K$5:K$30,"Died"))*J43</f>
        <v>1</v>
      </c>
      <c r="L43" s="74">
        <f>L41/(COUNTIFS($E$5:$E$30,$E41,L$5:L$30,"Alive")+COUNTIFS($E$5:$E$30,$E41,L$5:L$30,"Sacrificed")+COUNTIFS($E$5:$E$30,$E41,L$5:L$30,"Died"))*K43</f>
        <v>1</v>
      </c>
      <c r="M43" s="74">
        <f>M41/(COUNTIFS($E$5:$E$30,$E41,M$5:M$30,"Alive")+COUNTIFS($E$5:$E$30,$E41,M$5:M$30,"Sacrificed")+COUNTIFS($E$5:$E$30,$E41,M$5:M$30,"Died"))*L43</f>
        <v>1</v>
      </c>
      <c r="N43" s="74">
        <f>N41/(COUNTIFS($E$5:$E$30,$E41,N$5:N$30,"Alive")+COUNTIFS($E$5:$E$30,$E41,N$5:N$30,"Sacrificed")+COUNTIFS($E$5:$E$30,$E41,N$5:N$30,"Died"))*M43</f>
        <v>1</v>
      </c>
      <c r="O43" s="74">
        <f>O41/(COUNTIFS($E$5:$E$30,$E41,O$5:O$30,"Alive")+COUNTIFS($E$5:$E$30,$E41,O$5:O$30,"Sacrificed")+COUNTIFS($E$5:$E$30,$E41,O$5:O$30,"Died"))*N43</f>
        <v>1</v>
      </c>
      <c r="P43" s="74">
        <f>P41/(COUNTIFS($E$5:$E$30,$E41,P$5:P$30,"Alive")+COUNTIFS($E$5:$E$30,$E41,P$5:P$30,"Sacrificed")+COUNTIFS($E$5:$E$30,$E41,P$5:P$30,"Died"))*O43</f>
        <v>1</v>
      </c>
      <c r="Q43" s="74">
        <f>Q41/(COUNTIFS($E$5:$E$30,$E41,Q$5:Q$30,"Alive")+COUNTIFS($E$5:$E$30,$E41,Q$5:Q$30,"Sacrificed")+COUNTIFS($E$5:$E$30,$E41,Q$5:Q$30,"Died"))*P43</f>
        <v>1</v>
      </c>
      <c r="R43" s="74">
        <f>R41/(COUNTIFS($E$5:$E$30,$E41,R$5:R$30,"Alive")+COUNTIFS($E$5:$E$30,$E41,R$5:R$30,"Sacrificed")+COUNTIFS($E$5:$E$30,$E41,R$5:R$30,"Died"))*Q43</f>
        <v>1</v>
      </c>
      <c r="S43" s="74">
        <f>S41/(COUNTIFS($E$5:$E$30,$E41,S$5:S$30,"Alive")+COUNTIFS($E$5:$E$30,$E41,S$5:S$30,"Sacrificed")+COUNTIFS($E$5:$E$30,$E41,S$5:S$30,"Died"))*R43</f>
        <v>1</v>
      </c>
      <c r="T43" s="74">
        <f>T41/(COUNTIFS($E$5:$E$30,$E41,T$5:T$30,"Alive")+COUNTIFS($E$5:$E$30,$E41,T$5:T$30,"Sacrificed")+COUNTIFS($E$5:$E$30,$E41,T$5:T$30,"Died"))*S43</f>
        <v>1</v>
      </c>
      <c r="U43" s="74">
        <f>U41/(COUNTIFS($E$5:$E$30,$E41,U$5:U$30,"Alive")+COUNTIFS($E$5:$E$30,$E41,U$5:U$30,"Sacrificed")+COUNTIFS($E$5:$E$30,$E41,U$5:U$30,"Died"))*T43</f>
        <v>1</v>
      </c>
      <c r="V43" s="74">
        <f>V41/(COUNTIFS($E$5:$E$30,$E41,V$5:V$30,"Alive")+COUNTIFS($E$5:$E$30,$E41,V$5:V$30,"Sacrificed")+COUNTIFS($E$5:$E$30,$E41,V$5:V$30,"Died"))*U43</f>
        <v>1</v>
      </c>
      <c r="W43" s="74">
        <f>W41/(COUNTIFS($E$5:$E$30,$E41,W$5:W$30,"Alive")+COUNTIFS($E$5:$E$30,$E41,W$5:W$30,"Sacrificed")+COUNTIFS($E$5:$E$30,$E41,W$5:W$30,"Died"))*V43</f>
        <v>1</v>
      </c>
      <c r="X43" s="74">
        <f>X41/(COUNTIFS($E$5:$E$30,$E41,X$5:X$30,"Alive")+COUNTIFS($E$5:$E$30,$E41,X$5:X$30,"Sacrificed")+COUNTIFS($E$5:$E$30,$E41,X$5:X$30,"Died"))*W43</f>
        <v>1</v>
      </c>
      <c r="Y43" s="74">
        <f>Y41/(COUNTIFS($E$5:$E$30,$E41,Y$5:Y$30,"Alive")+COUNTIFS($E$5:$E$30,$E41,Y$5:Y$30,"Sacrificed")+COUNTIFS($E$5:$E$30,$E41,Y$5:Y$30,"Died"))*X43</f>
        <v>1</v>
      </c>
      <c r="Z43" s="74">
        <f>Z41/(COUNTIFS($E$5:$E$30,$E41,Z$5:Z$30,"Alive")+COUNTIFS($E$5:$E$30,$E41,Z$5:Z$30,"Sacrificed")+COUNTIFS($E$5:$E$30,$E41,Z$5:Z$30,"Died"))*Y43</f>
        <v>1</v>
      </c>
      <c r="AA43" s="74">
        <f>AA41/(COUNTIFS($E$5:$E$30,$E41,AA$5:AA$30,"Alive")+COUNTIFS($E$5:$E$30,$E41,AA$5:AA$30,"Sacrificed")+COUNTIFS($E$5:$E$30,$E41,AA$5:AA$30,"Died"))*Z43</f>
        <v>1</v>
      </c>
      <c r="AB43" s="74">
        <f>AB41/(COUNTIFS($E$5:$E$30,$E41,AB$5:AB$30,"Alive")+COUNTIFS($E$5:$E$30,$E41,AB$5:AB$30,"Sacrificed")+COUNTIFS($E$5:$E$30,$E41,AB$5:AB$30,"Died"))*AA43</f>
        <v>1</v>
      </c>
      <c r="AC43" s="74">
        <f>AC41/(COUNTIFS($E$5:$E$30,$E41,AC$5:AC$30,"Alive")+COUNTIFS($E$5:$E$30,$E41,AC$5:AC$30,"Sacrificed")+COUNTIFS($E$5:$E$30,$E41,AC$5:AC$30,"Died"))*AB43</f>
        <v>1</v>
      </c>
      <c r="AD43" s="74">
        <f>AD41/(COUNTIFS($E$5:$E$30,$E41,AD$5:AD$30,"Alive")+COUNTIFS($E$5:$E$30,$E41,AD$5:AD$30,"Sacrificed")+COUNTIFS($E$5:$E$30,$E41,AD$5:AD$30,"Died"))*AC43</f>
        <v>1</v>
      </c>
      <c r="AE43" s="74">
        <f>AE41/(COUNTIFS($E$5:$E$30,$E41,AE$5:AE$30,"Alive")+COUNTIFS($E$5:$E$30,$E41,AE$5:AE$30,"Sacrificed")+COUNTIFS($E$5:$E$30,$E41,AE$5:AE$30,"Died"))*AD43</f>
        <v>1</v>
      </c>
      <c r="AF43" s="74">
        <f>AF41/(COUNTIFS($E$5:$E$30,$E41,AF$5:AF$30,"Alive")+COUNTIFS($E$5:$E$30,$E41,AF$5:AF$30,"Sacrificed")+COUNTIFS($E$5:$E$30,$E41,AF$5:AF$30,"Died"))*AE43</f>
        <v>1</v>
      </c>
      <c r="AG43" s="74">
        <f>AG41/(COUNTIFS($E$5:$E$30,$E41,AG$5:AG$30,"Alive")+COUNTIFS($E$5:$E$30,$E41,AG$5:AG$30,"Sacrificed")+COUNTIFS($E$5:$E$30,$E41,AG$5:AG$30,"Died"))*AF43</f>
        <v>1</v>
      </c>
      <c r="AH43" s="74">
        <f>AH41/(COUNTIFS($E$5:$E$30,$E41,AH$5:AH$30,"Alive")+COUNTIFS($E$5:$E$30,$E41,AH$5:AH$30,"Sacrificed")+COUNTIFS($E$5:$E$30,$E41,AH$5:AH$30,"Died"))*AG43</f>
        <v>1</v>
      </c>
      <c r="AI43" s="74">
        <f>AI41/(COUNTIFS($E$5:$E$30,$E41,AI$5:AI$30,"Alive")+COUNTIFS($E$5:$E$30,$E41,AI$5:AI$30,"Sacrificed")+COUNTIFS($E$5:$E$30,$E41,AI$5:AI$30,"Died"))*AH43</f>
        <v>1</v>
      </c>
      <c r="AJ43" s="74">
        <f>AJ41/(COUNTIFS($E$5:$E$30,$E41,AJ$5:AJ$30,"Alive")+COUNTIFS($E$5:$E$30,$E41,AJ$5:AJ$30,"Sacrificed")+COUNTIFS($E$5:$E$30,$E41,AJ$5:AJ$30,"Died"))*AI43</f>
        <v>0.83333333333333337</v>
      </c>
      <c r="AK43" s="74">
        <f>AK41/(COUNTIFS($E$5:$E$30,$E41,AK$5:AK$30,"Alive")+COUNTIFS($E$5:$E$30,$E41,AK$5:AK$30,"Sacrificed")+COUNTIFS($E$5:$E$30,$E41,AK$5:AK$30,"Died"))*AJ43</f>
        <v>0.83333333333333337</v>
      </c>
      <c r="AL43" s="74">
        <f>AL41/(COUNTIFS($E$5:$E$30,$E41,AL$5:AL$30,"Alive")+COUNTIFS($E$5:$E$30,$E41,AL$5:AL$30,"Sacrificed")+COUNTIFS($E$5:$E$30,$E41,AL$5:AL$30,"Died"))*AK43</f>
        <v>0.83333333333333337</v>
      </c>
      <c r="AM43" s="74">
        <f>AM41/(COUNTIFS($E$5:$E$30,$E41,AM$5:AM$30,"Alive")+COUNTIFS($E$5:$E$30,$E41,AM$5:AM$30,"Sacrificed")+COUNTIFS($E$5:$E$30,$E41,AM$5:AM$30,"Died"))*AL43</f>
        <v>0.83333333333333337</v>
      </c>
      <c r="AN43" s="74">
        <f>AN41/(COUNTIFS($E$5:$E$30,$E41,AN$5:AN$30,"Alive")+COUNTIFS($E$5:$E$30,$E41,AN$5:AN$30,"Sacrificed")+COUNTIFS($E$5:$E$30,$E41,AN$5:AN$30,"Died"))*AM43</f>
        <v>0.66666666666666674</v>
      </c>
      <c r="AO43" s="74">
        <f>AO41/(COUNTIFS($E$5:$E$30,$E41,AO$5:AO$30,"Alive")+COUNTIFS($E$5:$E$30,$E41,AO$5:AO$30,"Sacrificed")+COUNTIFS($E$5:$E$30,$E41,AO$5:AO$30,"Died"))*AN43</f>
        <v>0.66666666666666674</v>
      </c>
      <c r="AP43" s="74">
        <f>AP41/(COUNTIFS($E$5:$E$30,$E41,AP$5:AP$30,"Alive")+COUNTIFS($E$5:$E$30,$E41,AP$5:AP$30,"Sacrificed")+COUNTIFS($E$5:$E$30,$E41,AP$5:AP$30,"Died"))*AO43</f>
        <v>0.66666666666666674</v>
      </c>
      <c r="AQ43" s="74">
        <f>AQ41/(COUNTIFS($E$5:$E$30,$E41,AQ$5:AQ$30,"Alive")+COUNTIFS($E$5:$E$30,$E41,AQ$5:AQ$30,"Sacrificed")+COUNTIFS($E$5:$E$30,$E41,AQ$5:AQ$30,"Died"))*AP43</f>
        <v>0.66666666666666674</v>
      </c>
      <c r="AR43" s="74">
        <f>AR41/(COUNTIFS($E$5:$E$30,$E41,AR$5:AR$30,"Alive")+COUNTIFS($E$5:$E$30,$E41,AR$5:AR$30,"Sacrificed")+COUNTIFS($E$5:$E$30,$E41,AR$5:AR$30,"Died"))*AQ43</f>
        <v>0.5</v>
      </c>
      <c r="AS43" s="74">
        <f>AS41/(COUNTIFS($E$5:$E$30,$E41,AS$5:AS$30,"Alive")+COUNTIFS($E$5:$E$30,$E41,AS$5:AS$30,"Sacrificed")+COUNTIFS($E$5:$E$30,$E41,AS$5:AS$30,"Died"))*AR43</f>
        <v>0.5</v>
      </c>
      <c r="AT43" s="74">
        <f>AT41/(COUNTIFS($E$5:$E$30,$E41,AT$5:AT$30,"Alive")+COUNTIFS($E$5:$E$30,$E41,AT$5:AT$30,"Sacrificed")+COUNTIFS($E$5:$E$30,$E41,AT$5:AT$30,"Died"))*AS43</f>
        <v>0.5</v>
      </c>
      <c r="AU43" s="74">
        <f>AU41/(COUNTIFS($E$5:$E$30,$E41,AU$5:AU$30,"Alive")+COUNTIFS($E$5:$E$30,$E41,AU$5:AU$30,"Sacrificed")+COUNTIFS($E$5:$E$30,$E41,AU$5:AU$30,"Died"))*AT43</f>
        <v>0.5</v>
      </c>
      <c r="AV43" s="74">
        <f>AV41/(COUNTIFS($E$5:$E$30,$E41,AV$5:AV$30,"Alive")+COUNTIFS($E$5:$E$30,$E41,AV$5:AV$30,"Sacrificed")+COUNTIFS($E$5:$E$30,$E41,AV$5:AV$30,"Died"))*AU43</f>
        <v>0.33333333333333331</v>
      </c>
      <c r="AW43" s="74">
        <f>AW41/(COUNTIFS($E$5:$E$30,$E41,AW$5:AW$30,"Alive")+COUNTIFS($E$5:$E$30,$E41,AW$5:AW$30,"Sacrificed")+COUNTIFS($E$5:$E$30,$E41,AW$5:AW$30,"Died"))*AV43</f>
        <v>0.33333333333333331</v>
      </c>
      <c r="AX43" s="74">
        <f>AX41/(COUNTIFS($E$5:$E$30,$E41,AX$5:AX$30,"Alive")+COUNTIFS($E$5:$E$30,$E41,AX$5:AX$30,"Sacrificed")+COUNTIFS($E$5:$E$30,$E41,AX$5:AX$30,"Died"))*AW43</f>
        <v>0.33333333333333331</v>
      </c>
      <c r="AY43" s="74">
        <f>AY41/(COUNTIFS($E$5:$E$30,$E41,AY$5:AY$30,"Alive")+COUNTIFS($E$5:$E$30,$E41,AY$5:AY$30,"Sacrificed")+COUNTIFS($E$5:$E$30,$E41,AY$5:AY$30,"Died"))*AX43</f>
        <v>0</v>
      </c>
      <c r="AZ43" s="74" t="e">
        <f>AZ41/(COUNTIFS($E$5:$E$30,$E41,AZ$5:AZ$30,"Alive")+COUNTIFS($E$5:$E$30,$E41,AZ$5:AZ$30,"Sacrificed")+COUNTIFS($E$5:$E$30,$E41,AZ$5:AZ$30,"Died"))*AY43</f>
        <v>#DIV/0!</v>
      </c>
      <c r="BA43" s="74" t="e">
        <f>BA41/(COUNTIFS($E$5:$E$30,$E41,BA$5:BA$30,"Alive")+COUNTIFS($E$5:$E$30,$E41,BA$5:BA$30,"Sacrificed")+COUNTIFS($E$5:$E$30,$E41,BA$5:BA$30,"Died"))*AZ43</f>
        <v>#DIV/0!</v>
      </c>
      <c r="BB43" s="3"/>
    </row>
    <row r="45" spans="1:54" ht="14.25" customHeight="1">
      <c r="A45" s="113"/>
      <c r="E45" s="118" t="str">
        <f>'FIG6 Groups'!C8</f>
        <v>MIA PaCa-2 - Control</v>
      </c>
      <c r="H45" s="118" t="str">
        <f>E45</f>
        <v>MIA PaCa-2 - Control</v>
      </c>
      <c r="I45" s="144" t="s">
        <v>52</v>
      </c>
      <c r="J45" s="78">
        <f>COUNTIFS($E$5:$E$30,$E45,J$5:J$30,"Alive")</f>
        <v>6</v>
      </c>
      <c r="K45" s="78">
        <f>COUNTIFS($E$5:$E$30,$E45,K$5:K$30,"Alive")</f>
        <v>6</v>
      </c>
      <c r="L45" s="78">
        <f>COUNTIFS($E$5:$E$30,$E45,L$5:L$30,"Alive")</f>
        <v>6</v>
      </c>
      <c r="M45" s="78">
        <f>COUNTIFS($E$5:$E$30,$E45,M$5:M$30,"Alive")</f>
        <v>6</v>
      </c>
      <c r="N45" s="78">
        <f>COUNTIFS($E$5:$E$30,$E45,N$5:N$30,"Alive")</f>
        <v>6</v>
      </c>
      <c r="O45" s="78">
        <f>COUNTIFS($E$5:$E$30,$E45,O$5:O$30,"Alive")</f>
        <v>6</v>
      </c>
      <c r="P45" s="78">
        <f>COUNTIFS($E$5:$E$30,$E45,P$5:P$30,"Alive")</f>
        <v>6</v>
      </c>
      <c r="Q45" s="78">
        <f>COUNTIFS($E$5:$E$30,$E45,Q$5:Q$30,"Alive")</f>
        <v>6</v>
      </c>
      <c r="R45" s="78">
        <f>COUNTIFS($E$5:$E$30,$E45,R$5:R$30,"Alive")</f>
        <v>6</v>
      </c>
      <c r="S45" s="78">
        <f>COUNTIFS($E$5:$E$30,$E45,S$5:S$30,"Alive")</f>
        <v>6</v>
      </c>
      <c r="T45" s="78">
        <f>COUNTIFS($E$5:$E$30,$E45,T$5:T$30,"Alive")</f>
        <v>6</v>
      </c>
      <c r="U45" s="78">
        <f>COUNTIFS($E$5:$E$30,$E45,U$5:U$30,"Alive")</f>
        <v>5</v>
      </c>
      <c r="V45" s="78">
        <f>COUNTIFS($E$5:$E$30,$E45,V$5:V$30,"Alive")</f>
        <v>5</v>
      </c>
      <c r="W45" s="78">
        <f>COUNTIFS($E$5:$E$30,$E45,W$5:W$30,"Alive")</f>
        <v>4</v>
      </c>
      <c r="X45" s="78">
        <f>COUNTIFS($E$5:$E$30,$E45,X$5:X$30,"Alive")</f>
        <v>3</v>
      </c>
      <c r="Y45" s="78">
        <f>COUNTIFS($E$5:$E$30,$E45,Y$5:Y$30,"Alive")</f>
        <v>1</v>
      </c>
      <c r="Z45" s="78">
        <f>COUNTIFS($E$5:$E$30,$E45,Z$5:Z$30,"Alive")</f>
        <v>1</v>
      </c>
      <c r="AA45" s="78">
        <f>COUNTIFS($E$5:$E$30,$E45,AA$5:AA$30,"Alive")</f>
        <v>1</v>
      </c>
      <c r="AB45" s="78">
        <f>COUNTIFS($E$5:$E$30,$E45,AB$5:AB$30,"Alive")</f>
        <v>1</v>
      </c>
      <c r="AC45" s="78">
        <f>COUNTIFS($E$5:$E$30,$E45,AC$5:AC$30,"Alive")</f>
        <v>1</v>
      </c>
      <c r="AD45" s="78">
        <f>COUNTIFS($E$5:$E$30,$E45,AD$5:AD$30,"Alive")</f>
        <v>1</v>
      </c>
      <c r="AE45" s="78">
        <f>COUNTIFS($E$5:$E$30,$E45,AE$5:AE$30,"Alive")</f>
        <v>1</v>
      </c>
      <c r="AF45" s="78">
        <f>COUNTIFS($E$5:$E$30,$E45,AF$5:AF$30,"Alive")</f>
        <v>1</v>
      </c>
      <c r="AG45" s="78">
        <f>COUNTIFS($E$5:$E$30,$E45,AG$5:AG$30,"Alive")</f>
        <v>1</v>
      </c>
      <c r="AH45" s="78">
        <f>COUNTIFS($E$5:$E$30,$E45,AH$5:AH$30,"Alive")</f>
        <v>1</v>
      </c>
      <c r="AI45" s="78">
        <f>COUNTIFS($E$5:$E$30,$E45,AI$5:AI$30,"Alive")</f>
        <v>1</v>
      </c>
      <c r="AJ45" s="78">
        <f>COUNTIFS($E$5:$E$30,$E45,AJ$5:AJ$30,"Alive")</f>
        <v>1</v>
      </c>
      <c r="AK45" s="78">
        <f>COUNTIFS($E$5:$E$30,$E45,AK$5:AK$30,"Alive")</f>
        <v>1</v>
      </c>
      <c r="AL45" s="78">
        <f>COUNTIFS($E$5:$E$30,$E45,AL$5:AL$30,"Alive")</f>
        <v>1</v>
      </c>
      <c r="AM45" s="78">
        <f>COUNTIFS($E$5:$E$30,$E45,AM$5:AM$30,"Alive")</f>
        <v>1</v>
      </c>
      <c r="AN45" s="78">
        <f>COUNTIFS($E$5:$E$30,$E45,AN$5:AN$30,"Alive")</f>
        <v>1</v>
      </c>
      <c r="AO45" s="78">
        <f>COUNTIFS($E$5:$E$30,$E45,AO$5:AO$30,"Alive")</f>
        <v>1</v>
      </c>
      <c r="AP45" s="78">
        <f>COUNTIFS($E$5:$E$30,$E45,AP$5:AP$30,"Alive")</f>
        <v>1</v>
      </c>
      <c r="AQ45" s="78">
        <f>COUNTIFS($E$5:$E$30,$E45,AQ$5:AQ$30,"Alive")</f>
        <v>1</v>
      </c>
      <c r="AR45" s="78">
        <f>COUNTIFS($E$5:$E$30,$E45,AR$5:AR$30,"Alive")</f>
        <v>1</v>
      </c>
      <c r="AS45" s="78">
        <f>COUNTIFS($E$5:$E$30,$E45,AS$5:AS$30,"Alive")</f>
        <v>1</v>
      </c>
      <c r="AT45" s="78">
        <f>COUNTIFS($E$5:$E$30,$E45,AT$5:AT$30,"Alive")</f>
        <v>1</v>
      </c>
      <c r="AU45" s="78">
        <f>COUNTIFS($E$5:$E$30,$E45,AU$5:AU$30,"Alive")</f>
        <v>1</v>
      </c>
      <c r="AV45" s="78">
        <f>COUNTIFS($E$5:$E$30,$E45,AV$5:AV$30,"Alive")</f>
        <v>1</v>
      </c>
      <c r="AW45" s="78">
        <f>COUNTIFS($E$5:$E$30,$E45,AW$5:AW$30,"Alive")</f>
        <v>1</v>
      </c>
      <c r="AX45" s="78">
        <f>COUNTIFS($E$5:$E$30,$E45,AX$5:AX$30,"Alive")</f>
        <v>1</v>
      </c>
      <c r="AY45" s="78">
        <f>COUNTIFS($E$5:$E$30,$E45,AY$5:AY$30,"Alive")</f>
        <v>0</v>
      </c>
      <c r="AZ45" s="78">
        <f>COUNTIFS($E$5:$E$30,$E45,AZ$5:AZ$30,"Alive")</f>
        <v>0</v>
      </c>
      <c r="BA45" s="78">
        <f>COUNTIFS($E$5:$E$30,$E45,BA$5:BA$30,"Alive")</f>
        <v>0</v>
      </c>
      <c r="BB45" s="76"/>
    </row>
    <row r="46" spans="1:54" ht="14.25" customHeight="1">
      <c r="A46" s="113"/>
      <c r="E46" s="93"/>
      <c r="H46" s="93"/>
      <c r="I46" s="144" t="s">
        <v>51</v>
      </c>
      <c r="J46" s="81">
        <f>COUNTIFS($E$5:$E$30,$E45,J$5:J$30,"Censored")</f>
        <v>0</v>
      </c>
      <c r="K46" s="81">
        <f>COUNTIFS($E$5:$E$30,$E45,K$5:K$30,"Censored")</f>
        <v>0</v>
      </c>
      <c r="L46" s="81">
        <f>COUNTIFS($E$5:$E$30,$E45,L$5:L$30,"Censored")</f>
        <v>0</v>
      </c>
      <c r="M46" s="81">
        <f>COUNTIFS($E$5:$E$30,$E45,M$5:M$30,"Censored")</f>
        <v>0</v>
      </c>
      <c r="N46" s="81">
        <f>COUNTIFS($E$5:$E$30,$E45,N$5:N$30,"Censored")</f>
        <v>0</v>
      </c>
      <c r="O46" s="81">
        <f>COUNTIFS($E$5:$E$30,$E45,O$5:O$30,"Censored")</f>
        <v>0</v>
      </c>
      <c r="P46" s="81">
        <f>COUNTIFS($E$5:$E$30,$E45,P$5:P$30,"Censored")</f>
        <v>0</v>
      </c>
      <c r="Q46" s="81">
        <f>COUNTIFS($E$5:$E$30,$E45,Q$5:Q$30,"Censored")</f>
        <v>0</v>
      </c>
      <c r="R46" s="81">
        <f>COUNTIFS($E$5:$E$30,$E45,R$5:R$30,"Censored")</f>
        <v>0</v>
      </c>
      <c r="S46" s="81">
        <f>COUNTIFS($E$5:$E$30,$E45,S$5:S$30,"Censored")</f>
        <v>0</v>
      </c>
      <c r="T46" s="81">
        <f>COUNTIFS($E$5:$E$30,$E45,T$5:T$30,"Censored")</f>
        <v>0</v>
      </c>
      <c r="U46" s="81">
        <f>COUNTIFS($E$5:$E$30,$E45,U$5:U$30,"Censored")</f>
        <v>0</v>
      </c>
      <c r="V46" s="81">
        <f>COUNTIFS($E$5:$E$30,$E45,V$5:V$30,"Censored")</f>
        <v>0</v>
      </c>
      <c r="W46" s="81">
        <f>COUNTIFS($E$5:$E$30,$E45,W$5:W$30,"Censored")</f>
        <v>0</v>
      </c>
      <c r="X46" s="81">
        <f>COUNTIFS($E$5:$E$30,$E45,X$5:X$30,"Censored")</f>
        <v>0</v>
      </c>
      <c r="Y46" s="81">
        <f>COUNTIFS($E$5:$E$30,$E45,Y$5:Y$30,"Censored")</f>
        <v>0</v>
      </c>
      <c r="Z46" s="81">
        <f>COUNTIFS($E$5:$E$30,$E45,Z$5:Z$30,"Censored")</f>
        <v>0</v>
      </c>
      <c r="AA46" s="81">
        <f>COUNTIFS($E$5:$E$30,$E45,AA$5:AA$30,"Censored")</f>
        <v>0</v>
      </c>
      <c r="AB46" s="81">
        <f>COUNTIFS($E$5:$E$30,$E45,AB$5:AB$30,"Censored")</f>
        <v>0</v>
      </c>
      <c r="AC46" s="81">
        <f>COUNTIFS($E$5:$E$30,$E45,AC$5:AC$30,"Censored")</f>
        <v>0</v>
      </c>
      <c r="AD46" s="81">
        <f>COUNTIFS($E$5:$E$30,$E45,AD$5:AD$30,"Censored")</f>
        <v>0</v>
      </c>
      <c r="AE46" s="81">
        <f>COUNTIFS($E$5:$E$30,$E45,AE$5:AE$30,"Censored")</f>
        <v>0</v>
      </c>
      <c r="AF46" s="81">
        <f>COUNTIFS($E$5:$E$30,$E45,AF$5:AF$30,"Censored")</f>
        <v>0</v>
      </c>
      <c r="AG46" s="81">
        <f>COUNTIFS($E$5:$E$30,$E45,AG$5:AG$30,"Censored")</f>
        <v>0</v>
      </c>
      <c r="AH46" s="81">
        <f>COUNTIFS($E$5:$E$30,$E45,AH$5:AH$30,"Censored")</f>
        <v>0</v>
      </c>
      <c r="AI46" s="81">
        <f>COUNTIFS($E$5:$E$30,$E45,AI$5:AI$30,"Censored")</f>
        <v>0</v>
      </c>
      <c r="AJ46" s="81">
        <f>COUNTIFS($E$5:$E$30,$E45,AJ$5:AJ$30,"Censored")</f>
        <v>0</v>
      </c>
      <c r="AK46" s="81">
        <f>COUNTIFS($E$5:$E$30,$E45,AK$5:AK$30,"Censored")</f>
        <v>0</v>
      </c>
      <c r="AL46" s="81">
        <f>COUNTIFS($E$5:$E$30,$E45,AL$5:AL$30,"Censored")</f>
        <v>0</v>
      </c>
      <c r="AM46" s="81">
        <f>COUNTIFS($E$5:$E$30,$E45,AM$5:AM$30,"Censored")</f>
        <v>0</v>
      </c>
      <c r="AN46" s="81">
        <f>COUNTIFS($E$5:$E$30,$E45,AN$5:AN$30,"Censored")</f>
        <v>0</v>
      </c>
      <c r="AO46" s="81">
        <f>COUNTIFS($E$5:$E$30,$E45,AO$5:AO$30,"Censored")</f>
        <v>0</v>
      </c>
      <c r="AP46" s="81">
        <f>COUNTIFS($E$5:$E$30,$E45,AP$5:AP$30,"Censored")</f>
        <v>0</v>
      </c>
      <c r="AQ46" s="81">
        <f>COUNTIFS($E$5:$E$30,$E45,AQ$5:AQ$30,"Censored")</f>
        <v>0</v>
      </c>
      <c r="AR46" s="81">
        <f>COUNTIFS($E$5:$E$30,$E45,AR$5:AR$30,"Censored")</f>
        <v>0</v>
      </c>
      <c r="AS46" s="81">
        <f>COUNTIFS($E$5:$E$30,$E45,AS$5:AS$30,"Censored")</f>
        <v>0</v>
      </c>
      <c r="AT46" s="81">
        <f>COUNTIFS($E$5:$E$30,$E45,AT$5:AT$30,"Censored")</f>
        <v>0</v>
      </c>
      <c r="AU46" s="81">
        <f>COUNTIFS($E$5:$E$30,$E45,AU$5:AU$30,"Censored")</f>
        <v>0</v>
      </c>
      <c r="AV46" s="81">
        <f>COUNTIFS($E$5:$E$30,$E45,AV$5:AV$30,"Censored")</f>
        <v>0</v>
      </c>
      <c r="AW46" s="81">
        <f>COUNTIFS($E$5:$E$30,$E45,AW$5:AW$30,"Censored")</f>
        <v>0</v>
      </c>
      <c r="AX46" s="81">
        <f>COUNTIFS($E$5:$E$30,$E45,AX$5:AX$30,"Censored")</f>
        <v>0</v>
      </c>
      <c r="AY46" s="81">
        <f>COUNTIFS($E$5:$E$30,$E45,AY$5:AY$30,"Censored")</f>
        <v>0</v>
      </c>
      <c r="AZ46" s="81">
        <f>COUNTIFS($E$5:$E$30,$E45,AZ$5:AZ$30,"Censored")</f>
        <v>0</v>
      </c>
      <c r="BA46" s="81">
        <f>COUNTIFS($E$5:$E$30,$E45,BA$5:BA$30,"Censored")</f>
        <v>0</v>
      </c>
      <c r="BB46" s="76"/>
    </row>
    <row r="47" spans="1:54" ht="14.25" customHeight="1">
      <c r="A47" s="46"/>
      <c r="B47" s="45"/>
      <c r="C47" s="47"/>
      <c r="D47" s="45"/>
      <c r="E47" s="92"/>
      <c r="F47" s="71"/>
      <c r="G47" s="82"/>
      <c r="H47" s="93"/>
      <c r="I47" s="144" t="s">
        <v>53</v>
      </c>
      <c r="J47" s="74">
        <f>J45/(COUNTIFS($E$5:$E$30,$E45,J$5:J$30,"Alive")+COUNTIFS($E$5:$E$30,$E45,J$5:J$30,"Sacrificed")+COUNTIFS($E$5:$E$30,$E45,J$5:J$30,"Died"))</f>
        <v>1</v>
      </c>
      <c r="K47" s="74">
        <f>K45/(COUNTIFS($E$5:$E$30,$E45,K$5:K$30,"Alive")+COUNTIFS($E$5:$E$30,$E45,K$5:K$30,"Sacrificed")+COUNTIFS($E$5:$E$30,$E45,K$5:K$30,"Died"))*J47</f>
        <v>1</v>
      </c>
      <c r="L47" s="74">
        <f>L45/(COUNTIFS($E$5:$E$30,$E45,L$5:L$30,"Alive")+COUNTIFS($E$5:$E$30,$E45,L$5:L$30,"Sacrificed")+COUNTIFS($E$5:$E$30,$E45,L$5:L$30,"Died"))*K47</f>
        <v>1</v>
      </c>
      <c r="M47" s="74">
        <f>M45/(COUNTIFS($E$5:$E$30,$E45,M$5:M$30,"Alive")+COUNTIFS($E$5:$E$30,$E45,M$5:M$30,"Sacrificed")+COUNTIFS($E$5:$E$30,$E45,M$5:M$30,"Died"))*L47</f>
        <v>1</v>
      </c>
      <c r="N47" s="74">
        <f>N45/(COUNTIFS($E$5:$E$30,$E45,N$5:N$30,"Alive")+COUNTIFS($E$5:$E$30,$E45,N$5:N$30,"Sacrificed")+COUNTIFS($E$5:$E$30,$E45,N$5:N$30,"Died"))*M47</f>
        <v>1</v>
      </c>
      <c r="O47" s="74">
        <f>O45/(COUNTIFS($E$5:$E$30,$E45,O$5:O$30,"Alive")+COUNTIFS($E$5:$E$30,$E45,O$5:O$30,"Sacrificed")+COUNTIFS($E$5:$E$30,$E45,O$5:O$30,"Died"))*N47</f>
        <v>1</v>
      </c>
      <c r="P47" s="74">
        <f>P45/(COUNTIFS($E$5:$E$30,$E45,P$5:P$30,"Alive")+COUNTIFS($E$5:$E$30,$E45,P$5:P$30,"Sacrificed")+COUNTIFS($E$5:$E$30,$E45,P$5:P$30,"Died"))*O47</f>
        <v>1</v>
      </c>
      <c r="Q47" s="74">
        <f>Q45/(COUNTIFS($E$5:$E$30,$E45,Q$5:Q$30,"Alive")+COUNTIFS($E$5:$E$30,$E45,Q$5:Q$30,"Sacrificed")+COUNTIFS($E$5:$E$30,$E45,Q$5:Q$30,"Died"))*P47</f>
        <v>1</v>
      </c>
      <c r="R47" s="74">
        <f>R45/(COUNTIFS($E$5:$E$30,$E45,R$5:R$30,"Alive")+COUNTIFS($E$5:$E$30,$E45,R$5:R$30,"Sacrificed")+COUNTIFS($E$5:$E$30,$E45,R$5:R$30,"Died"))*Q47</f>
        <v>1</v>
      </c>
      <c r="S47" s="74">
        <f>S45/(COUNTIFS($E$5:$E$30,$E45,S$5:S$30,"Alive")+COUNTIFS($E$5:$E$30,$E45,S$5:S$30,"Sacrificed")+COUNTIFS($E$5:$E$30,$E45,S$5:S$30,"Died"))*R47</f>
        <v>1</v>
      </c>
      <c r="T47" s="74">
        <f>T45/(COUNTIFS($E$5:$E$30,$E45,T$5:T$30,"Alive")+COUNTIFS($E$5:$E$30,$E45,T$5:T$30,"Sacrificed")+COUNTIFS($E$5:$E$30,$E45,T$5:T$30,"Died"))*S47</f>
        <v>1</v>
      </c>
      <c r="U47" s="74">
        <f>U45/(COUNTIFS($E$5:$E$30,$E45,U$5:U$30,"Alive")+COUNTIFS($E$5:$E$30,$E45,U$5:U$30,"Sacrificed")+COUNTIFS($E$5:$E$30,$E45,U$5:U$30,"Died"))*T47</f>
        <v>0.83333333333333337</v>
      </c>
      <c r="V47" s="74">
        <f>V45/(COUNTIFS($E$5:$E$30,$E45,V$5:V$30,"Alive")+COUNTIFS($E$5:$E$30,$E45,V$5:V$30,"Sacrificed")+COUNTIFS($E$5:$E$30,$E45,V$5:V$30,"Died"))*U47</f>
        <v>0.83333333333333337</v>
      </c>
      <c r="W47" s="74">
        <f>W45/(COUNTIFS($E$5:$E$30,$E45,W$5:W$30,"Alive")+COUNTIFS($E$5:$E$30,$E45,W$5:W$30,"Sacrificed")+COUNTIFS($E$5:$E$30,$E45,W$5:W$30,"Died"))*V47</f>
        <v>0.66666666666666674</v>
      </c>
      <c r="X47" s="74">
        <f>X45/(COUNTIFS($E$5:$E$30,$E45,X$5:X$30,"Alive")+COUNTIFS($E$5:$E$30,$E45,X$5:X$30,"Sacrificed")+COUNTIFS($E$5:$E$30,$E45,X$5:X$30,"Died"))*W47</f>
        <v>0.5</v>
      </c>
      <c r="Y47" s="74">
        <f>Y45/(COUNTIFS($E$5:$E$30,$E45,Y$5:Y$30,"Alive")+COUNTIFS($E$5:$E$30,$E45,Y$5:Y$30,"Sacrificed")+COUNTIFS($E$5:$E$30,$E45,Y$5:Y$30,"Died"))*X47</f>
        <v>0.16666666666666666</v>
      </c>
      <c r="Z47" s="74">
        <f>Z45/(COUNTIFS($E$5:$E$30,$E45,Z$5:Z$30,"Alive")+COUNTIFS($E$5:$E$30,$E45,Z$5:Z$30,"Sacrificed")+COUNTIFS($E$5:$E$30,$E45,Z$5:Z$30,"Died"))*Y47</f>
        <v>0.16666666666666666</v>
      </c>
      <c r="AA47" s="74">
        <f>AA45/(COUNTIFS($E$5:$E$30,$E45,AA$5:AA$30,"Alive")+COUNTIFS($E$5:$E$30,$E45,AA$5:AA$30,"Sacrificed")+COUNTIFS($E$5:$E$30,$E45,AA$5:AA$30,"Died"))*Z47</f>
        <v>0.16666666666666666</v>
      </c>
      <c r="AB47" s="74">
        <f>AB45/(COUNTIFS($E$5:$E$30,$E45,AB$5:AB$30,"Alive")+COUNTIFS($E$5:$E$30,$E45,AB$5:AB$30,"Sacrificed")+COUNTIFS($E$5:$E$30,$E45,AB$5:AB$30,"Died"))*AA47</f>
        <v>0.16666666666666666</v>
      </c>
      <c r="AC47" s="74">
        <f>AC45/(COUNTIFS($E$5:$E$30,$E45,AC$5:AC$30,"Alive")+COUNTIFS($E$5:$E$30,$E45,AC$5:AC$30,"Sacrificed")+COUNTIFS($E$5:$E$30,$E45,AC$5:AC$30,"Died"))*AB47</f>
        <v>0.16666666666666666</v>
      </c>
      <c r="AD47" s="74">
        <f>AD45/(COUNTIFS($E$5:$E$30,$E45,AD$5:AD$30,"Alive")+COUNTIFS($E$5:$E$30,$E45,AD$5:AD$30,"Sacrificed")+COUNTIFS($E$5:$E$30,$E45,AD$5:AD$30,"Died"))*AC47</f>
        <v>0.16666666666666666</v>
      </c>
      <c r="AE47" s="74">
        <f>AE45/(COUNTIFS($E$5:$E$30,$E45,AE$5:AE$30,"Alive")+COUNTIFS($E$5:$E$30,$E45,AE$5:AE$30,"Sacrificed")+COUNTIFS($E$5:$E$30,$E45,AE$5:AE$30,"Died"))*AD47</f>
        <v>0.16666666666666666</v>
      </c>
      <c r="AF47" s="74">
        <f>AF45/(COUNTIFS($E$5:$E$30,$E45,AF$5:AF$30,"Alive")+COUNTIFS($E$5:$E$30,$E45,AF$5:AF$30,"Sacrificed")+COUNTIFS($E$5:$E$30,$E45,AF$5:AF$30,"Died"))*AE47</f>
        <v>0.16666666666666666</v>
      </c>
      <c r="AG47" s="74">
        <f>AG45/(COUNTIFS($E$5:$E$30,$E45,AG$5:AG$30,"Alive")+COUNTIFS($E$5:$E$30,$E45,AG$5:AG$30,"Sacrificed")+COUNTIFS($E$5:$E$30,$E45,AG$5:AG$30,"Died"))*AF47</f>
        <v>0.16666666666666666</v>
      </c>
      <c r="AH47" s="74">
        <f>AH45/(COUNTIFS($E$5:$E$30,$E45,AH$5:AH$30,"Alive")+COUNTIFS($E$5:$E$30,$E45,AH$5:AH$30,"Sacrificed")+COUNTIFS($E$5:$E$30,$E45,AH$5:AH$30,"Died"))*AG47</f>
        <v>0.16666666666666666</v>
      </c>
      <c r="AI47" s="74">
        <f>AI45/(COUNTIFS($E$5:$E$30,$E45,AI$5:AI$30,"Alive")+COUNTIFS($E$5:$E$30,$E45,AI$5:AI$30,"Sacrificed")+COUNTIFS($E$5:$E$30,$E45,AI$5:AI$30,"Died"))*AH47</f>
        <v>0.16666666666666666</v>
      </c>
      <c r="AJ47" s="74">
        <f>AJ45/(COUNTIFS($E$5:$E$30,$E45,AJ$5:AJ$30,"Alive")+COUNTIFS($E$5:$E$30,$E45,AJ$5:AJ$30,"Sacrificed")+COUNTIFS($E$5:$E$30,$E45,AJ$5:AJ$30,"Died"))*AI47</f>
        <v>0.16666666666666666</v>
      </c>
      <c r="AK47" s="74">
        <f>AK45/(COUNTIFS($E$5:$E$30,$E45,AK$5:AK$30,"Alive")+COUNTIFS($E$5:$E$30,$E45,AK$5:AK$30,"Sacrificed")+COUNTIFS($E$5:$E$30,$E45,AK$5:AK$30,"Died"))*AJ47</f>
        <v>0.16666666666666666</v>
      </c>
      <c r="AL47" s="74">
        <f>AL45/(COUNTIFS($E$5:$E$30,$E45,AL$5:AL$30,"Alive")+COUNTIFS($E$5:$E$30,$E45,AL$5:AL$30,"Sacrificed")+COUNTIFS($E$5:$E$30,$E45,AL$5:AL$30,"Died"))*AK47</f>
        <v>0.16666666666666666</v>
      </c>
      <c r="AM47" s="74">
        <f>AM45/(COUNTIFS($E$5:$E$30,$E45,AM$5:AM$30,"Alive")+COUNTIFS($E$5:$E$30,$E45,AM$5:AM$30,"Sacrificed")+COUNTIFS($E$5:$E$30,$E45,AM$5:AM$30,"Died"))*AL47</f>
        <v>0.16666666666666666</v>
      </c>
      <c r="AN47" s="74">
        <f>AN45/(COUNTIFS($E$5:$E$30,$E45,AN$5:AN$30,"Alive")+COUNTIFS($E$5:$E$30,$E45,AN$5:AN$30,"Sacrificed")+COUNTIFS($E$5:$E$30,$E45,AN$5:AN$30,"Died"))*AM47</f>
        <v>0.16666666666666666</v>
      </c>
      <c r="AO47" s="74">
        <f>AO45/(COUNTIFS($E$5:$E$30,$E45,AO$5:AO$30,"Alive")+COUNTIFS($E$5:$E$30,$E45,AO$5:AO$30,"Sacrificed")+COUNTIFS($E$5:$E$30,$E45,AO$5:AO$30,"Died"))*AN47</f>
        <v>0.16666666666666666</v>
      </c>
      <c r="AP47" s="74">
        <f>AP45/(COUNTIFS($E$5:$E$30,$E45,AP$5:AP$30,"Alive")+COUNTIFS($E$5:$E$30,$E45,AP$5:AP$30,"Sacrificed")+COUNTIFS($E$5:$E$30,$E45,AP$5:AP$30,"Died"))*AO47</f>
        <v>0.16666666666666666</v>
      </c>
      <c r="AQ47" s="74">
        <f>AQ45/(COUNTIFS($E$5:$E$30,$E45,AQ$5:AQ$30,"Alive")+COUNTIFS($E$5:$E$30,$E45,AQ$5:AQ$30,"Sacrificed")+COUNTIFS($E$5:$E$30,$E45,AQ$5:AQ$30,"Died"))*AP47</f>
        <v>0.16666666666666666</v>
      </c>
      <c r="AR47" s="74">
        <f>AR45/(COUNTIFS($E$5:$E$30,$E45,AR$5:AR$30,"Alive")+COUNTIFS($E$5:$E$30,$E45,AR$5:AR$30,"Sacrificed")+COUNTIFS($E$5:$E$30,$E45,AR$5:AR$30,"Died"))*AQ47</f>
        <v>0.16666666666666666</v>
      </c>
      <c r="AS47" s="74">
        <f>AS45/(COUNTIFS($E$5:$E$30,$E45,AS$5:AS$30,"Alive")+COUNTIFS($E$5:$E$30,$E45,AS$5:AS$30,"Sacrificed")+COUNTIFS($E$5:$E$30,$E45,AS$5:AS$30,"Died"))*AR47</f>
        <v>0.16666666666666666</v>
      </c>
      <c r="AT47" s="74">
        <f>AT45/(COUNTIFS($E$5:$E$30,$E45,AT$5:AT$30,"Alive")+COUNTIFS($E$5:$E$30,$E45,AT$5:AT$30,"Sacrificed")+COUNTIFS($E$5:$E$30,$E45,AT$5:AT$30,"Died"))*AS47</f>
        <v>0.16666666666666666</v>
      </c>
      <c r="AU47" s="74">
        <f>AU45/(COUNTIFS($E$5:$E$30,$E45,AU$5:AU$30,"Alive")+COUNTIFS($E$5:$E$30,$E45,AU$5:AU$30,"Sacrificed")+COUNTIFS($E$5:$E$30,$E45,AU$5:AU$30,"Died"))*AT47</f>
        <v>0.16666666666666666</v>
      </c>
      <c r="AV47" s="74">
        <f>AV45/(COUNTIFS($E$5:$E$30,$E45,AV$5:AV$30,"Alive")+COUNTIFS($E$5:$E$30,$E45,AV$5:AV$30,"Sacrificed")+COUNTIFS($E$5:$E$30,$E45,AV$5:AV$30,"Died"))*AU47</f>
        <v>0.16666666666666666</v>
      </c>
      <c r="AW47" s="74">
        <f>AW45/(COUNTIFS($E$5:$E$30,$E45,AW$5:AW$30,"Alive")+COUNTIFS($E$5:$E$30,$E45,AW$5:AW$30,"Sacrificed")+COUNTIFS($E$5:$E$30,$E45,AW$5:AW$30,"Died"))*AV47</f>
        <v>0.16666666666666666</v>
      </c>
      <c r="AX47" s="74">
        <f>AX45/(COUNTIFS($E$5:$E$30,$E45,AX$5:AX$30,"Alive")+COUNTIFS($E$5:$E$30,$E45,AX$5:AX$30,"Sacrificed")+COUNTIFS($E$5:$E$30,$E45,AX$5:AX$30,"Died"))*AW47</f>
        <v>0.16666666666666666</v>
      </c>
      <c r="AY47" s="74">
        <f>AY45/(COUNTIFS($E$5:$E$30,$E45,AY$5:AY$30,"Alive")+COUNTIFS($E$5:$E$30,$E45,AY$5:AY$30,"Sacrificed")+COUNTIFS($E$5:$E$30,$E45,AY$5:AY$30,"Died"))*AX47</f>
        <v>0</v>
      </c>
      <c r="AZ47" s="74" t="e">
        <f>AZ45/(COUNTIFS($E$5:$E$30,$E45,AZ$5:AZ$30,"Alive")+COUNTIFS($E$5:$E$30,$E45,AZ$5:AZ$30,"Sacrificed")+COUNTIFS($E$5:$E$30,$E45,AZ$5:AZ$30,"Died"))*AY47</f>
        <v>#DIV/0!</v>
      </c>
      <c r="BA47" s="74" t="e">
        <f>BA45/(COUNTIFS($E$5:$E$30,$E45,BA$5:BA$30,"Alive")+COUNTIFS($E$5:$E$30,$E45,BA$5:BA$30,"Sacrificed")+COUNTIFS($E$5:$E$30,$E45,BA$5:BA$30,"Died"))*AZ47</f>
        <v>#DIV/0!</v>
      </c>
      <c r="BB47" s="3"/>
    </row>
    <row r="49" spans="1:54" ht="14.25" customHeight="1">
      <c r="A49" s="113"/>
      <c r="E49" s="118" t="str">
        <f>'FIG6 Groups'!C9</f>
        <v>MIA PaCa-2 - CP-PTX Combo</v>
      </c>
      <c r="H49" s="118" t="str">
        <f>E49</f>
        <v>MIA PaCa-2 - CP-PTX Combo</v>
      </c>
      <c r="I49" s="144" t="s">
        <v>52</v>
      </c>
      <c r="J49" s="78">
        <f>COUNTIFS($E$5:$E$30,$E49,J$5:J$30,"Alive")</f>
        <v>5</v>
      </c>
      <c r="K49" s="78">
        <f>COUNTIFS($E$5:$E$30,$E49,K$5:K$30,"Alive")</f>
        <v>5</v>
      </c>
      <c r="L49" s="78">
        <f>COUNTIFS($E$5:$E$30,$E49,L$5:L$30,"Alive")</f>
        <v>5</v>
      </c>
      <c r="M49" s="78">
        <f>COUNTIFS($E$5:$E$30,$E49,M$5:M$30,"Alive")</f>
        <v>5</v>
      </c>
      <c r="N49" s="78">
        <f>COUNTIFS($E$5:$E$30,$E49,N$5:N$30,"Alive")</f>
        <v>5</v>
      </c>
      <c r="O49" s="78">
        <f>COUNTIFS($E$5:$E$30,$E49,O$5:O$30,"Alive")</f>
        <v>5</v>
      </c>
      <c r="P49" s="78">
        <f>COUNTIFS($E$5:$E$30,$E49,P$5:P$30,"Alive")</f>
        <v>5</v>
      </c>
      <c r="Q49" s="78">
        <f>COUNTIFS($E$5:$E$30,$E49,Q$5:Q$30,"Alive")</f>
        <v>5</v>
      </c>
      <c r="R49" s="78">
        <f>COUNTIFS($E$5:$E$30,$E49,R$5:R$30,"Alive")</f>
        <v>5</v>
      </c>
      <c r="S49" s="78">
        <f>COUNTIFS($E$5:$E$30,$E49,S$5:S$30,"Alive")</f>
        <v>5</v>
      </c>
      <c r="T49" s="78">
        <f>COUNTIFS($E$5:$E$30,$E49,T$5:T$30,"Alive")</f>
        <v>5</v>
      </c>
      <c r="U49" s="78">
        <f>COUNTIFS($E$5:$E$30,$E49,U$5:U$30,"Alive")</f>
        <v>5</v>
      </c>
      <c r="V49" s="78">
        <f>COUNTIFS($E$5:$E$30,$E49,V$5:V$30,"Alive")</f>
        <v>5</v>
      </c>
      <c r="W49" s="78">
        <f>COUNTIFS($E$5:$E$30,$E49,W$5:W$30,"Alive")</f>
        <v>5</v>
      </c>
      <c r="X49" s="78">
        <f>COUNTIFS($E$5:$E$30,$E49,X$5:X$30,"Alive")</f>
        <v>5</v>
      </c>
      <c r="Y49" s="78">
        <f>COUNTIFS($E$5:$E$30,$E49,Y$5:Y$30,"Alive")</f>
        <v>5</v>
      </c>
      <c r="Z49" s="78">
        <f>COUNTIFS($E$5:$E$30,$E49,Z$5:Z$30,"Alive")</f>
        <v>5</v>
      </c>
      <c r="AA49" s="78">
        <f>COUNTIFS($E$5:$E$30,$E49,AA$5:AA$30,"Alive")</f>
        <v>5</v>
      </c>
      <c r="AB49" s="78">
        <f>COUNTIFS($E$5:$E$30,$E49,AB$5:AB$30,"Alive")</f>
        <v>5</v>
      </c>
      <c r="AC49" s="78">
        <f>COUNTIFS($E$5:$E$30,$E49,AC$5:AC$30,"Alive")</f>
        <v>5</v>
      </c>
      <c r="AD49" s="78">
        <f>COUNTIFS($E$5:$E$30,$E49,AD$5:AD$30,"Alive")</f>
        <v>5</v>
      </c>
      <c r="AE49" s="78">
        <f>COUNTIFS($E$5:$E$30,$E49,AE$5:AE$30,"Alive")</f>
        <v>5</v>
      </c>
      <c r="AF49" s="78">
        <f>COUNTIFS($E$5:$E$30,$E49,AF$5:AF$30,"Alive")</f>
        <v>5</v>
      </c>
      <c r="AG49" s="78">
        <f>COUNTIFS($E$5:$E$30,$E49,AG$5:AG$30,"Alive")</f>
        <v>5</v>
      </c>
      <c r="AH49" s="78">
        <f>COUNTIFS($E$5:$E$30,$E49,AH$5:AH$30,"Alive")</f>
        <v>5</v>
      </c>
      <c r="AI49" s="78">
        <f>COUNTIFS($E$5:$E$30,$E49,AI$5:AI$30,"Alive")</f>
        <v>4</v>
      </c>
      <c r="AJ49" s="78">
        <f>COUNTIFS($E$5:$E$30,$E49,AJ$5:AJ$30,"Alive")</f>
        <v>3</v>
      </c>
      <c r="AK49" s="78">
        <f>COUNTIFS($E$5:$E$30,$E49,AK$5:AK$30,"Alive")</f>
        <v>3</v>
      </c>
      <c r="AL49" s="78">
        <f>COUNTIFS($E$5:$E$30,$E49,AL$5:AL$30,"Alive")</f>
        <v>3</v>
      </c>
      <c r="AM49" s="78">
        <f>COUNTIFS($E$5:$E$30,$E49,AM$5:AM$30,"Alive")</f>
        <v>3</v>
      </c>
      <c r="AN49" s="78">
        <f>COUNTIFS($E$5:$E$30,$E49,AN$5:AN$30,"Alive")</f>
        <v>3</v>
      </c>
      <c r="AO49" s="78">
        <f>COUNTIFS($E$5:$E$30,$E49,AO$5:AO$30,"Alive")</f>
        <v>3</v>
      </c>
      <c r="AP49" s="78">
        <f>COUNTIFS($E$5:$E$30,$E49,AP$5:AP$30,"Alive")</f>
        <v>3</v>
      </c>
      <c r="AQ49" s="78">
        <f>COUNTIFS($E$5:$E$30,$E49,AQ$5:AQ$30,"Alive")</f>
        <v>3</v>
      </c>
      <c r="AR49" s="78">
        <f>COUNTIFS($E$5:$E$30,$E49,AR$5:AR$30,"Alive")</f>
        <v>3</v>
      </c>
      <c r="AS49" s="78">
        <f>COUNTIFS($E$5:$E$30,$E49,AS$5:AS$30,"Alive")</f>
        <v>3</v>
      </c>
      <c r="AT49" s="78">
        <f>COUNTIFS($E$5:$E$30,$E49,AT$5:AT$30,"Alive")</f>
        <v>2</v>
      </c>
      <c r="AU49" s="78">
        <f>COUNTIFS($E$5:$E$30,$E49,AU$5:AU$30,"Alive")</f>
        <v>2</v>
      </c>
      <c r="AV49" s="78">
        <f>COUNTIFS($E$5:$E$30,$E49,AV$5:AV$30,"Alive")</f>
        <v>2</v>
      </c>
      <c r="AW49" s="78">
        <f>COUNTIFS($E$5:$E$30,$E49,AW$5:AW$30,"Alive")</f>
        <v>2</v>
      </c>
      <c r="AX49" s="78">
        <f>COUNTIFS($E$5:$E$30,$E49,AX$5:AX$30,"Alive")</f>
        <v>2</v>
      </c>
      <c r="AY49" s="78">
        <f>COUNTIFS($E$5:$E$30,$E49,AY$5:AY$30,"Alive")</f>
        <v>0</v>
      </c>
      <c r="AZ49" s="78">
        <f>COUNTIFS($E$5:$E$30,$E49,AZ$5:AZ$30,"Alive")</f>
        <v>0</v>
      </c>
      <c r="BA49" s="78">
        <f>COUNTIFS($E$5:$E$30,$E49,BA$5:BA$30,"Alive")</f>
        <v>0</v>
      </c>
      <c r="BB49" s="76"/>
    </row>
    <row r="50" spans="1:54" ht="14.25" customHeight="1">
      <c r="A50" s="113"/>
      <c r="E50" s="93"/>
      <c r="H50" s="93"/>
      <c r="I50" s="144" t="s">
        <v>51</v>
      </c>
      <c r="J50" s="81">
        <f>COUNTIFS($E$5:$E$30,$E49,J$5:J$30,"Censored")</f>
        <v>0</v>
      </c>
      <c r="K50" s="81">
        <f>COUNTIFS($E$5:$E$30,$E49,K$5:K$30,"Censored")</f>
        <v>0</v>
      </c>
      <c r="L50" s="81">
        <f>COUNTIFS($E$5:$E$30,$E49,L$5:L$30,"Censored")</f>
        <v>0</v>
      </c>
      <c r="M50" s="81">
        <f>COUNTIFS($E$5:$E$30,$E49,M$5:M$30,"Censored")</f>
        <v>0</v>
      </c>
      <c r="N50" s="81">
        <f>COUNTIFS($E$5:$E$30,$E49,N$5:N$30,"Censored")</f>
        <v>0</v>
      </c>
      <c r="O50" s="81">
        <f>COUNTIFS($E$5:$E$30,$E49,O$5:O$30,"Censored")</f>
        <v>0</v>
      </c>
      <c r="P50" s="81">
        <f>COUNTIFS($E$5:$E$30,$E49,P$5:P$30,"Censored")</f>
        <v>0</v>
      </c>
      <c r="Q50" s="81">
        <f>COUNTIFS($E$5:$E$30,$E49,Q$5:Q$30,"Censored")</f>
        <v>0</v>
      </c>
      <c r="R50" s="81">
        <f>COUNTIFS($E$5:$E$30,$E49,R$5:R$30,"Censored")</f>
        <v>0</v>
      </c>
      <c r="S50" s="81">
        <f>COUNTIFS($E$5:$E$30,$E49,S$5:S$30,"Censored")</f>
        <v>0</v>
      </c>
      <c r="T50" s="81">
        <f>COUNTIFS($E$5:$E$30,$E49,T$5:T$30,"Censored")</f>
        <v>0</v>
      </c>
      <c r="U50" s="81">
        <f>COUNTIFS($E$5:$E$30,$E49,U$5:U$30,"Censored")</f>
        <v>0</v>
      </c>
      <c r="V50" s="81">
        <f>COUNTIFS($E$5:$E$30,$E49,V$5:V$30,"Censored")</f>
        <v>0</v>
      </c>
      <c r="W50" s="81">
        <f>COUNTIFS($E$5:$E$30,$E49,W$5:W$30,"Censored")</f>
        <v>0</v>
      </c>
      <c r="X50" s="81">
        <f>COUNTIFS($E$5:$E$30,$E49,X$5:X$30,"Censored")</f>
        <v>0</v>
      </c>
      <c r="Y50" s="81">
        <f>COUNTIFS($E$5:$E$30,$E49,Y$5:Y$30,"Censored")</f>
        <v>0</v>
      </c>
      <c r="Z50" s="81">
        <f>COUNTIFS($E$5:$E$30,$E49,Z$5:Z$30,"Censored")</f>
        <v>0</v>
      </c>
      <c r="AA50" s="81">
        <f>COUNTIFS($E$5:$E$30,$E49,AA$5:AA$30,"Censored")</f>
        <v>0</v>
      </c>
      <c r="AB50" s="81">
        <f>COUNTIFS($E$5:$E$30,$E49,AB$5:AB$30,"Censored")</f>
        <v>0</v>
      </c>
      <c r="AC50" s="81">
        <f>COUNTIFS($E$5:$E$30,$E49,AC$5:AC$30,"Censored")</f>
        <v>0</v>
      </c>
      <c r="AD50" s="81">
        <f>COUNTIFS($E$5:$E$30,$E49,AD$5:AD$30,"Censored")</f>
        <v>0</v>
      </c>
      <c r="AE50" s="81">
        <f>COUNTIFS($E$5:$E$30,$E49,AE$5:AE$30,"Censored")</f>
        <v>0</v>
      </c>
      <c r="AF50" s="81">
        <f>COUNTIFS($E$5:$E$30,$E49,AF$5:AF$30,"Censored")</f>
        <v>0</v>
      </c>
      <c r="AG50" s="81">
        <f>COUNTIFS($E$5:$E$30,$E49,AG$5:AG$30,"Censored")</f>
        <v>0</v>
      </c>
      <c r="AH50" s="81">
        <f>COUNTIFS($E$5:$E$30,$E49,AH$5:AH$30,"Censored")</f>
        <v>0</v>
      </c>
      <c r="AI50" s="81">
        <f>COUNTIFS($E$5:$E$30,$E49,AI$5:AI$30,"Censored")</f>
        <v>0</v>
      </c>
      <c r="AJ50" s="81">
        <f>COUNTIFS($E$5:$E$30,$E49,AJ$5:AJ$30,"Censored")</f>
        <v>0</v>
      </c>
      <c r="AK50" s="81">
        <f>COUNTIFS($E$5:$E$30,$E49,AK$5:AK$30,"Censored")</f>
        <v>0</v>
      </c>
      <c r="AL50" s="81">
        <f>COUNTIFS($E$5:$E$30,$E49,AL$5:AL$30,"Censored")</f>
        <v>0</v>
      </c>
      <c r="AM50" s="81">
        <f>COUNTIFS($E$5:$E$30,$E49,AM$5:AM$30,"Censored")</f>
        <v>0</v>
      </c>
      <c r="AN50" s="81">
        <f>COUNTIFS($E$5:$E$30,$E49,AN$5:AN$30,"Censored")</f>
        <v>0</v>
      </c>
      <c r="AO50" s="81">
        <f>COUNTIFS($E$5:$E$30,$E49,AO$5:AO$30,"Censored")</f>
        <v>0</v>
      </c>
      <c r="AP50" s="81">
        <f>COUNTIFS($E$5:$E$30,$E49,AP$5:AP$30,"Censored")</f>
        <v>0</v>
      </c>
      <c r="AQ50" s="81">
        <f>COUNTIFS($E$5:$E$30,$E49,AQ$5:AQ$30,"Censored")</f>
        <v>0</v>
      </c>
      <c r="AR50" s="81">
        <f>COUNTIFS($E$5:$E$30,$E49,AR$5:AR$30,"Censored")</f>
        <v>0</v>
      </c>
      <c r="AS50" s="81">
        <f>COUNTIFS($E$5:$E$30,$E49,AS$5:AS$30,"Censored")</f>
        <v>0</v>
      </c>
      <c r="AT50" s="81">
        <f>COUNTIFS($E$5:$E$30,$E49,AT$5:AT$30,"Censored")</f>
        <v>0</v>
      </c>
      <c r="AU50" s="81">
        <f>COUNTIFS($E$5:$E$30,$E49,AU$5:AU$30,"Censored")</f>
        <v>0</v>
      </c>
      <c r="AV50" s="81">
        <f>COUNTIFS($E$5:$E$30,$E49,AV$5:AV$30,"Censored")</f>
        <v>0</v>
      </c>
      <c r="AW50" s="81">
        <f>COUNTIFS($E$5:$E$30,$E49,AW$5:AW$30,"Censored")</f>
        <v>0</v>
      </c>
      <c r="AX50" s="81">
        <f>COUNTIFS($E$5:$E$30,$E49,AX$5:AX$30,"Censored")</f>
        <v>0</v>
      </c>
      <c r="AY50" s="81">
        <f>COUNTIFS($E$5:$E$30,$E49,AY$5:AY$30,"Censored")</f>
        <v>0</v>
      </c>
      <c r="AZ50" s="81">
        <f>COUNTIFS($E$5:$E$30,$E49,AZ$5:AZ$30,"Censored")</f>
        <v>0</v>
      </c>
      <c r="BA50" s="81">
        <f>COUNTIFS($E$5:$E$30,$E49,BA$5:BA$30,"Censored")</f>
        <v>0</v>
      </c>
      <c r="BB50" s="76"/>
    </row>
    <row r="51" spans="1:54" ht="14.25" customHeight="1">
      <c r="A51" s="46"/>
      <c r="B51" s="45"/>
      <c r="C51" s="47"/>
      <c r="D51" s="45"/>
      <c r="E51" s="92"/>
      <c r="F51" s="71"/>
      <c r="G51" s="82"/>
      <c r="H51" s="93"/>
      <c r="I51" s="144" t="s">
        <v>53</v>
      </c>
      <c r="J51" s="74">
        <f>J49/(COUNTIFS($E$5:$E$30,$E49,J$5:J$30,"Alive")+COUNTIFS($E$5:$E$30,$E49,J$5:J$30,"Sacrificed")+COUNTIFS($E$5:$E$30,$E49,J$5:J$30,"Died"))</f>
        <v>1</v>
      </c>
      <c r="K51" s="74">
        <f>K49/(COUNTIFS($E$5:$E$30,$E49,K$5:K$30,"Alive")+COUNTIFS($E$5:$E$30,$E49,K$5:K$30,"Sacrificed")+COUNTIFS($E$5:$E$30,$E49,K$5:K$30,"Died"))*J51</f>
        <v>1</v>
      </c>
      <c r="L51" s="74">
        <f>L49/(COUNTIFS($E$5:$E$30,$E49,L$5:L$30,"Alive")+COUNTIFS($E$5:$E$30,$E49,L$5:L$30,"Sacrificed")+COUNTIFS($E$5:$E$30,$E49,L$5:L$30,"Died"))*K51</f>
        <v>1</v>
      </c>
      <c r="M51" s="74">
        <f>M49/(COUNTIFS($E$5:$E$30,$E49,M$5:M$30,"Alive")+COUNTIFS($E$5:$E$30,$E49,M$5:M$30,"Sacrificed")+COUNTIFS($E$5:$E$30,$E49,M$5:M$30,"Died"))*L51</f>
        <v>1</v>
      </c>
      <c r="N51" s="74">
        <f>N49/(COUNTIFS($E$5:$E$30,$E49,N$5:N$30,"Alive")+COUNTIFS($E$5:$E$30,$E49,N$5:N$30,"Sacrificed")+COUNTIFS($E$5:$E$30,$E49,N$5:N$30,"Died"))*M51</f>
        <v>1</v>
      </c>
      <c r="O51" s="74">
        <f>O49/(COUNTIFS($E$5:$E$30,$E49,O$5:O$30,"Alive")+COUNTIFS($E$5:$E$30,$E49,O$5:O$30,"Sacrificed")+COUNTIFS($E$5:$E$30,$E49,O$5:O$30,"Died"))*N51</f>
        <v>1</v>
      </c>
      <c r="P51" s="74">
        <f>P49/(COUNTIFS($E$5:$E$30,$E49,P$5:P$30,"Alive")+COUNTIFS($E$5:$E$30,$E49,P$5:P$30,"Sacrificed")+COUNTIFS($E$5:$E$30,$E49,P$5:P$30,"Died"))*O51</f>
        <v>1</v>
      </c>
      <c r="Q51" s="74">
        <f>Q49/(COUNTIFS($E$5:$E$30,$E49,Q$5:Q$30,"Alive")+COUNTIFS($E$5:$E$30,$E49,Q$5:Q$30,"Sacrificed")+COUNTIFS($E$5:$E$30,$E49,Q$5:Q$30,"Died"))*P51</f>
        <v>1</v>
      </c>
      <c r="R51" s="74">
        <f>R49/(COUNTIFS($E$5:$E$30,$E49,R$5:R$30,"Alive")+COUNTIFS($E$5:$E$30,$E49,R$5:R$30,"Sacrificed")+COUNTIFS($E$5:$E$30,$E49,R$5:R$30,"Died"))*Q51</f>
        <v>1</v>
      </c>
      <c r="S51" s="74">
        <f>S49/(COUNTIFS($E$5:$E$30,$E49,S$5:S$30,"Alive")+COUNTIFS($E$5:$E$30,$E49,S$5:S$30,"Sacrificed")+COUNTIFS($E$5:$E$30,$E49,S$5:S$30,"Died"))*R51</f>
        <v>1</v>
      </c>
      <c r="T51" s="74">
        <f>T49/(COUNTIFS($E$5:$E$30,$E49,T$5:T$30,"Alive")+COUNTIFS($E$5:$E$30,$E49,T$5:T$30,"Sacrificed")+COUNTIFS($E$5:$E$30,$E49,T$5:T$30,"Died"))*S51</f>
        <v>1</v>
      </c>
      <c r="U51" s="74">
        <f>U49/(COUNTIFS($E$5:$E$30,$E49,U$5:U$30,"Alive")+COUNTIFS($E$5:$E$30,$E49,U$5:U$30,"Sacrificed")+COUNTIFS($E$5:$E$30,$E49,U$5:U$30,"Died"))*T51</f>
        <v>1</v>
      </c>
      <c r="V51" s="74">
        <f>V49/(COUNTIFS($E$5:$E$30,$E49,V$5:V$30,"Alive")+COUNTIFS($E$5:$E$30,$E49,V$5:V$30,"Sacrificed")+COUNTIFS($E$5:$E$30,$E49,V$5:V$30,"Died"))*U51</f>
        <v>1</v>
      </c>
      <c r="W51" s="74">
        <f>W49/(COUNTIFS($E$5:$E$30,$E49,W$5:W$30,"Alive")+COUNTIFS($E$5:$E$30,$E49,W$5:W$30,"Sacrificed")+COUNTIFS($E$5:$E$30,$E49,W$5:W$30,"Died"))*V51</f>
        <v>1</v>
      </c>
      <c r="X51" s="74">
        <f>X49/(COUNTIFS($E$5:$E$30,$E49,X$5:X$30,"Alive")+COUNTIFS($E$5:$E$30,$E49,X$5:X$30,"Sacrificed")+COUNTIFS($E$5:$E$30,$E49,X$5:X$30,"Died"))*W51</f>
        <v>1</v>
      </c>
      <c r="Y51" s="74">
        <f>Y49/(COUNTIFS($E$5:$E$30,$E49,Y$5:Y$30,"Alive")+COUNTIFS($E$5:$E$30,$E49,Y$5:Y$30,"Sacrificed")+COUNTIFS($E$5:$E$30,$E49,Y$5:Y$30,"Died"))*X51</f>
        <v>1</v>
      </c>
      <c r="Z51" s="74">
        <f>Z49/(COUNTIFS($E$5:$E$30,$E49,Z$5:Z$30,"Alive")+COUNTIFS($E$5:$E$30,$E49,Z$5:Z$30,"Sacrificed")+COUNTIFS($E$5:$E$30,$E49,Z$5:Z$30,"Died"))*Y51</f>
        <v>1</v>
      </c>
      <c r="AA51" s="74">
        <f>AA49/(COUNTIFS($E$5:$E$30,$E49,AA$5:AA$30,"Alive")+COUNTIFS($E$5:$E$30,$E49,AA$5:AA$30,"Sacrificed")+COUNTIFS($E$5:$E$30,$E49,AA$5:AA$30,"Died"))*Z51</f>
        <v>1</v>
      </c>
      <c r="AB51" s="74">
        <f>AB49/(COUNTIFS($E$5:$E$30,$E49,AB$5:AB$30,"Alive")+COUNTIFS($E$5:$E$30,$E49,AB$5:AB$30,"Sacrificed")+COUNTIFS($E$5:$E$30,$E49,AB$5:AB$30,"Died"))*AA51</f>
        <v>1</v>
      </c>
      <c r="AC51" s="74">
        <f>AC49/(COUNTIFS($E$5:$E$30,$E49,AC$5:AC$30,"Alive")+COUNTIFS($E$5:$E$30,$E49,AC$5:AC$30,"Sacrificed")+COUNTIFS($E$5:$E$30,$E49,AC$5:AC$30,"Died"))*AB51</f>
        <v>1</v>
      </c>
      <c r="AD51" s="74">
        <f>AD49/(COUNTIFS($E$5:$E$30,$E49,AD$5:AD$30,"Alive")+COUNTIFS($E$5:$E$30,$E49,AD$5:AD$30,"Sacrificed")+COUNTIFS($E$5:$E$30,$E49,AD$5:AD$30,"Died"))*AC51</f>
        <v>1</v>
      </c>
      <c r="AE51" s="74">
        <f>AE49/(COUNTIFS($E$5:$E$30,$E49,AE$5:AE$30,"Alive")+COUNTIFS($E$5:$E$30,$E49,AE$5:AE$30,"Sacrificed")+COUNTIFS($E$5:$E$30,$E49,AE$5:AE$30,"Died"))*AD51</f>
        <v>1</v>
      </c>
      <c r="AF51" s="74">
        <f>AF49/(COUNTIFS($E$5:$E$30,$E49,AF$5:AF$30,"Alive")+COUNTIFS($E$5:$E$30,$E49,AF$5:AF$30,"Sacrificed")+COUNTIFS($E$5:$E$30,$E49,AF$5:AF$30,"Died"))*AE51</f>
        <v>1</v>
      </c>
      <c r="AG51" s="74">
        <f>AG49/(COUNTIFS($E$5:$E$30,$E49,AG$5:AG$30,"Alive")+COUNTIFS($E$5:$E$30,$E49,AG$5:AG$30,"Sacrificed")+COUNTIFS($E$5:$E$30,$E49,AG$5:AG$30,"Died"))*AF51</f>
        <v>1</v>
      </c>
      <c r="AH51" s="74">
        <f>AH49/(COUNTIFS($E$5:$E$30,$E49,AH$5:AH$30,"Alive")+COUNTIFS($E$5:$E$30,$E49,AH$5:AH$30,"Sacrificed")+COUNTIFS($E$5:$E$30,$E49,AH$5:AH$30,"Died"))*AG51</f>
        <v>1</v>
      </c>
      <c r="AI51" s="74">
        <f>AI49/(COUNTIFS($E$5:$E$30,$E49,AI$5:AI$30,"Alive")+COUNTIFS($E$5:$E$30,$E49,AI$5:AI$30,"Sacrificed")+COUNTIFS($E$5:$E$30,$E49,AI$5:AI$30,"Died"))*AH51</f>
        <v>0.8</v>
      </c>
      <c r="AJ51" s="74">
        <f>AJ49/(COUNTIFS($E$5:$E$30,$E49,AJ$5:AJ$30,"Alive")+COUNTIFS($E$5:$E$30,$E49,AJ$5:AJ$30,"Sacrificed")+COUNTIFS($E$5:$E$30,$E49,AJ$5:AJ$30,"Died"))*AI51</f>
        <v>0.60000000000000009</v>
      </c>
      <c r="AK51" s="74">
        <f>AK49/(COUNTIFS($E$5:$E$30,$E49,AK$5:AK$30,"Alive")+COUNTIFS($E$5:$E$30,$E49,AK$5:AK$30,"Sacrificed")+COUNTIFS($E$5:$E$30,$E49,AK$5:AK$30,"Died"))*AJ51</f>
        <v>0.60000000000000009</v>
      </c>
      <c r="AL51" s="74">
        <f>AL49/(COUNTIFS($E$5:$E$30,$E49,AL$5:AL$30,"Alive")+COUNTIFS($E$5:$E$30,$E49,AL$5:AL$30,"Sacrificed")+COUNTIFS($E$5:$E$30,$E49,AL$5:AL$30,"Died"))*AK51</f>
        <v>0.60000000000000009</v>
      </c>
      <c r="AM51" s="74">
        <f>AM49/(COUNTIFS($E$5:$E$30,$E49,AM$5:AM$30,"Alive")+COUNTIFS($E$5:$E$30,$E49,AM$5:AM$30,"Sacrificed")+COUNTIFS($E$5:$E$30,$E49,AM$5:AM$30,"Died"))*AL51</f>
        <v>0.60000000000000009</v>
      </c>
      <c r="AN51" s="74">
        <f>AN49/(COUNTIFS($E$5:$E$30,$E49,AN$5:AN$30,"Alive")+COUNTIFS($E$5:$E$30,$E49,AN$5:AN$30,"Sacrificed")+COUNTIFS($E$5:$E$30,$E49,AN$5:AN$30,"Died"))*AM51</f>
        <v>0.60000000000000009</v>
      </c>
      <c r="AO51" s="74">
        <f>AO49/(COUNTIFS($E$5:$E$30,$E49,AO$5:AO$30,"Alive")+COUNTIFS($E$5:$E$30,$E49,AO$5:AO$30,"Sacrificed")+COUNTIFS($E$5:$E$30,$E49,AO$5:AO$30,"Died"))*AN51</f>
        <v>0.60000000000000009</v>
      </c>
      <c r="AP51" s="74">
        <f>AP49/(COUNTIFS($E$5:$E$30,$E49,AP$5:AP$30,"Alive")+COUNTIFS($E$5:$E$30,$E49,AP$5:AP$30,"Sacrificed")+COUNTIFS($E$5:$E$30,$E49,AP$5:AP$30,"Died"))*AO51</f>
        <v>0.60000000000000009</v>
      </c>
      <c r="AQ51" s="74">
        <f>AQ49/(COUNTIFS($E$5:$E$30,$E49,AQ$5:AQ$30,"Alive")+COUNTIFS($E$5:$E$30,$E49,AQ$5:AQ$30,"Sacrificed")+COUNTIFS($E$5:$E$30,$E49,AQ$5:AQ$30,"Died"))*AP51</f>
        <v>0.60000000000000009</v>
      </c>
      <c r="AR51" s="74">
        <f>AR49/(COUNTIFS($E$5:$E$30,$E49,AR$5:AR$30,"Alive")+COUNTIFS($E$5:$E$30,$E49,AR$5:AR$30,"Sacrificed")+COUNTIFS($E$5:$E$30,$E49,AR$5:AR$30,"Died"))*AQ51</f>
        <v>0.60000000000000009</v>
      </c>
      <c r="AS51" s="74">
        <f>AS49/(COUNTIFS($E$5:$E$30,$E49,AS$5:AS$30,"Alive")+COUNTIFS($E$5:$E$30,$E49,AS$5:AS$30,"Sacrificed")+COUNTIFS($E$5:$E$30,$E49,AS$5:AS$30,"Died"))*AR51</f>
        <v>0.60000000000000009</v>
      </c>
      <c r="AT51" s="74">
        <f>AT49/(COUNTIFS($E$5:$E$30,$E49,AT$5:AT$30,"Alive")+COUNTIFS($E$5:$E$30,$E49,AT$5:AT$30,"Sacrificed")+COUNTIFS($E$5:$E$30,$E49,AT$5:AT$30,"Died"))*AS51</f>
        <v>0.4</v>
      </c>
      <c r="AU51" s="74">
        <f>AU49/(COUNTIFS($E$5:$E$30,$E49,AU$5:AU$30,"Alive")+COUNTIFS($E$5:$E$30,$E49,AU$5:AU$30,"Sacrificed")+COUNTIFS($E$5:$E$30,$E49,AU$5:AU$30,"Died"))*AT51</f>
        <v>0.4</v>
      </c>
      <c r="AV51" s="74">
        <f>AV49/(COUNTIFS($E$5:$E$30,$E49,AV$5:AV$30,"Alive")+COUNTIFS($E$5:$E$30,$E49,AV$5:AV$30,"Sacrificed")+COUNTIFS($E$5:$E$30,$E49,AV$5:AV$30,"Died"))*AU51</f>
        <v>0.4</v>
      </c>
      <c r="AW51" s="74">
        <f>AW49/(COUNTIFS($E$5:$E$30,$E49,AW$5:AW$30,"Alive")+COUNTIFS($E$5:$E$30,$E49,AW$5:AW$30,"Sacrificed")+COUNTIFS($E$5:$E$30,$E49,AW$5:AW$30,"Died"))*AV51</f>
        <v>0.4</v>
      </c>
      <c r="AX51" s="74">
        <f>AX49/(COUNTIFS($E$5:$E$30,$E49,AX$5:AX$30,"Alive")+COUNTIFS($E$5:$E$30,$E49,AX$5:AX$30,"Sacrificed")+COUNTIFS($E$5:$E$30,$E49,AX$5:AX$30,"Died"))*AW51</f>
        <v>0.4</v>
      </c>
      <c r="AY51" s="74">
        <f>AY49/(COUNTIFS($E$5:$E$30,$E49,AY$5:AY$30,"Alive")+COUNTIFS($E$5:$E$30,$E49,AY$5:AY$30,"Sacrificed")+COUNTIFS($E$5:$E$30,$E49,AY$5:AY$30,"Died"))*AX51</f>
        <v>0</v>
      </c>
      <c r="AZ51" s="74" t="e">
        <f>AZ49/(COUNTIFS($E$5:$E$30,$E49,AZ$5:AZ$30,"Alive")+COUNTIFS($E$5:$E$30,$E49,AZ$5:AZ$30,"Sacrificed")+COUNTIFS($E$5:$E$30,$E49,AZ$5:AZ$30,"Died"))*AY51</f>
        <v>#DIV/0!</v>
      </c>
      <c r="BA51" s="74" t="e">
        <f>BA49/(COUNTIFS($E$5:$E$30,$E49,BA$5:BA$30,"Alive")+COUNTIFS($E$5:$E$30,$E49,BA$5:BA$30,"Sacrificed")+COUNTIFS($E$5:$E$30,$E49,BA$5:BA$30,"Died"))*AZ51</f>
        <v>#DIV/0!</v>
      </c>
      <c r="BB51" s="3"/>
    </row>
    <row r="53" spans="1:54" ht="14.25" customHeight="1">
      <c r="A53" s="113"/>
      <c r="E53" s="118" t="str">
        <f>'FIG6 Groups'!C10</f>
        <v>Not Included</v>
      </c>
      <c r="H53" s="118" t="str">
        <f>E53</f>
        <v>Not Included</v>
      </c>
      <c r="I53" s="144" t="s">
        <v>52</v>
      </c>
      <c r="J53" s="78">
        <f>COUNTIFS($E$5:$E$30,$E53,J$5:J$30,"Alive")</f>
        <v>2</v>
      </c>
      <c r="K53" s="78">
        <f>COUNTIFS($E$5:$E$30,$E53,K$5:K$30,"Alive")</f>
        <v>2</v>
      </c>
      <c r="L53" s="78">
        <f>COUNTIFS($E$5:$E$30,$E53,L$5:L$30,"Alive")</f>
        <v>2</v>
      </c>
      <c r="M53" s="78">
        <f>COUNTIFS($E$5:$E$30,$E53,M$5:M$30,"Alive")</f>
        <v>2</v>
      </c>
      <c r="N53" s="78">
        <f>COUNTIFS($E$5:$E$30,$E53,N$5:N$30,"Alive")</f>
        <v>2</v>
      </c>
      <c r="O53" s="78">
        <f>COUNTIFS($E$5:$E$30,$E53,O$5:O$30,"Alive")</f>
        <v>2</v>
      </c>
      <c r="P53" s="78">
        <f>COUNTIFS($E$5:$E$30,$E53,P$5:P$30,"Alive")</f>
        <v>2</v>
      </c>
      <c r="Q53" s="78">
        <f>COUNTIFS($E$5:$E$30,$E53,Q$5:Q$30,"Alive")</f>
        <v>2</v>
      </c>
      <c r="R53" s="78">
        <f>COUNTIFS($E$5:$E$30,$E53,R$5:R$30,"Alive")</f>
        <v>2</v>
      </c>
      <c r="S53" s="78">
        <f>COUNTIFS($E$5:$E$30,$E53,S$5:S$30,"Alive")</f>
        <v>0</v>
      </c>
      <c r="T53" s="78">
        <f>COUNTIFS($E$5:$E$30,$E53,T$5:T$30,"Alive")</f>
        <v>0</v>
      </c>
      <c r="U53" s="78">
        <f>COUNTIFS($E$5:$E$30,$E53,U$5:U$30,"Alive")</f>
        <v>0</v>
      </c>
      <c r="V53" s="78">
        <f>COUNTIFS($E$5:$E$30,$E53,V$5:V$30,"Alive")</f>
        <v>0</v>
      </c>
      <c r="W53" s="78">
        <f>COUNTIFS($E$5:$E$30,$E53,W$5:W$30,"Alive")</f>
        <v>0</v>
      </c>
      <c r="X53" s="78">
        <f>COUNTIFS($E$5:$E$30,$E53,X$5:X$30,"Alive")</f>
        <v>0</v>
      </c>
      <c r="Y53" s="78">
        <f>COUNTIFS($E$5:$E$30,$E53,Y$5:Y$30,"Alive")</f>
        <v>0</v>
      </c>
      <c r="Z53" s="78">
        <f>COUNTIFS($E$5:$E$30,$E53,Z$5:Z$30,"Alive")</f>
        <v>0</v>
      </c>
      <c r="AA53" s="78">
        <f>COUNTIFS($E$5:$E$30,$E53,AA$5:AA$30,"Alive")</f>
        <v>0</v>
      </c>
      <c r="AB53" s="78">
        <f>COUNTIFS($E$5:$E$30,$E53,AB$5:AB$30,"Alive")</f>
        <v>0</v>
      </c>
      <c r="AC53" s="78">
        <f>COUNTIFS($E$5:$E$30,$E53,AC$5:AC$30,"Alive")</f>
        <v>0</v>
      </c>
      <c r="AD53" s="78">
        <f>COUNTIFS($E$5:$E$30,$E53,AD$5:AD$30,"Alive")</f>
        <v>0</v>
      </c>
      <c r="AE53" s="78">
        <f>COUNTIFS($E$5:$E$30,$E53,AE$5:AE$30,"Alive")</f>
        <v>0</v>
      </c>
      <c r="AF53" s="78">
        <f>COUNTIFS($E$5:$E$30,$E53,AF$5:AF$30,"Alive")</f>
        <v>0</v>
      </c>
      <c r="AG53" s="78">
        <f>COUNTIFS($E$5:$E$30,$E53,AG$5:AG$30,"Alive")</f>
        <v>0</v>
      </c>
      <c r="AH53" s="78">
        <f>COUNTIFS($E$5:$E$30,$E53,AH$5:AH$30,"Alive")</f>
        <v>0</v>
      </c>
      <c r="AI53" s="78">
        <f>COUNTIFS($E$5:$E$30,$E53,AI$5:AI$30,"Alive")</f>
        <v>0</v>
      </c>
      <c r="AJ53" s="78">
        <f>COUNTIFS($E$5:$E$30,$E53,AJ$5:AJ$30,"Alive")</f>
        <v>0</v>
      </c>
      <c r="AK53" s="78">
        <f>COUNTIFS($E$5:$E$30,$E53,AK$5:AK$30,"Alive")</f>
        <v>0</v>
      </c>
      <c r="AL53" s="78">
        <f>COUNTIFS($E$5:$E$30,$E53,AL$5:AL$30,"Alive")</f>
        <v>0</v>
      </c>
      <c r="AM53" s="78">
        <f>COUNTIFS($E$5:$E$30,$E53,AM$5:AM$30,"Alive")</f>
        <v>0</v>
      </c>
      <c r="AN53" s="78">
        <f>COUNTIFS($E$5:$E$30,$E53,AN$5:AN$30,"Alive")</f>
        <v>0</v>
      </c>
      <c r="AO53" s="78">
        <f>COUNTIFS($E$5:$E$30,$E53,AO$5:AO$30,"Alive")</f>
        <v>0</v>
      </c>
      <c r="AP53" s="78">
        <f>COUNTIFS($E$5:$E$30,$E53,AP$5:AP$30,"Alive")</f>
        <v>0</v>
      </c>
      <c r="AQ53" s="78">
        <f>COUNTIFS($E$5:$E$30,$E53,AQ$5:AQ$30,"Alive")</f>
        <v>0</v>
      </c>
      <c r="AR53" s="78">
        <f>COUNTIFS($E$5:$E$30,$E53,AR$5:AR$30,"Alive")</f>
        <v>0</v>
      </c>
      <c r="AS53" s="78">
        <f>COUNTIFS($E$5:$E$30,$E53,AS$5:AS$30,"Alive")</f>
        <v>0</v>
      </c>
      <c r="AT53" s="78">
        <f>COUNTIFS($E$5:$E$30,$E53,AT$5:AT$30,"Alive")</f>
        <v>0</v>
      </c>
      <c r="AU53" s="78">
        <f>COUNTIFS($E$5:$E$30,$E53,AU$5:AU$30,"Alive")</f>
        <v>0</v>
      </c>
      <c r="AV53" s="78">
        <f>COUNTIFS($E$5:$E$30,$E53,AV$5:AV$30,"Alive")</f>
        <v>0</v>
      </c>
      <c r="AW53" s="78">
        <f>COUNTIFS($E$5:$E$30,$E53,AW$5:AW$30,"Alive")</f>
        <v>0</v>
      </c>
      <c r="AX53" s="78">
        <f>COUNTIFS($E$5:$E$30,$E53,AX$5:AX$30,"Alive")</f>
        <v>0</v>
      </c>
      <c r="AY53" s="78">
        <f>COUNTIFS($E$5:$E$30,$E53,AY$5:AY$30,"Alive")</f>
        <v>0</v>
      </c>
      <c r="AZ53" s="78">
        <f>COUNTIFS($E$5:$E$30,$E53,AZ$5:AZ$30,"Alive")</f>
        <v>0</v>
      </c>
      <c r="BA53" s="78">
        <f>COUNTIFS($E$5:$E$30,$E53,BA$5:BA$30,"Alive")</f>
        <v>0</v>
      </c>
      <c r="BB53" s="76"/>
    </row>
    <row r="54" spans="1:54" ht="14.25" customHeight="1">
      <c r="A54" s="113"/>
      <c r="E54" s="93"/>
      <c r="H54" s="93"/>
      <c r="I54" s="144" t="s">
        <v>51</v>
      </c>
      <c r="J54" s="81">
        <f>COUNTIFS($E$5:$E$30,$E53,J$5:J$30,"Censored")</f>
        <v>0</v>
      </c>
      <c r="K54" s="81">
        <f>COUNTIFS($E$5:$E$30,$E53,K$5:K$30,"Censored")</f>
        <v>0</v>
      </c>
      <c r="L54" s="81">
        <f>COUNTIFS($E$5:$E$30,$E53,L$5:L$30,"Censored")</f>
        <v>0</v>
      </c>
      <c r="M54" s="81">
        <f>COUNTIFS($E$5:$E$30,$E53,M$5:M$30,"Censored")</f>
        <v>0</v>
      </c>
      <c r="N54" s="81">
        <f>COUNTIFS($E$5:$E$30,$E53,N$5:N$30,"Censored")</f>
        <v>0</v>
      </c>
      <c r="O54" s="81">
        <f>COUNTIFS($E$5:$E$30,$E53,O$5:O$30,"Censored")</f>
        <v>0</v>
      </c>
      <c r="P54" s="81">
        <f>COUNTIFS($E$5:$E$30,$E53,P$5:P$30,"Censored")</f>
        <v>0</v>
      </c>
      <c r="Q54" s="81">
        <f>COUNTIFS($E$5:$E$30,$E53,Q$5:Q$30,"Censored")</f>
        <v>0</v>
      </c>
      <c r="R54" s="81">
        <f>COUNTIFS($E$5:$E$30,$E53,R$5:R$30,"Censored")</f>
        <v>0</v>
      </c>
      <c r="S54" s="81">
        <f>COUNTIFS($E$5:$E$30,$E53,S$5:S$30,"Censored")</f>
        <v>0</v>
      </c>
      <c r="T54" s="81">
        <f>COUNTIFS($E$5:$E$30,$E53,T$5:T$30,"Censored")</f>
        <v>0</v>
      </c>
      <c r="U54" s="81">
        <f>COUNTIFS($E$5:$E$30,$E53,U$5:U$30,"Censored")</f>
        <v>0</v>
      </c>
      <c r="V54" s="81">
        <f>COUNTIFS($E$5:$E$30,$E53,V$5:V$30,"Censored")</f>
        <v>0</v>
      </c>
      <c r="W54" s="81">
        <f>COUNTIFS($E$5:$E$30,$E53,W$5:W$30,"Censored")</f>
        <v>0</v>
      </c>
      <c r="X54" s="81">
        <f>COUNTIFS($E$5:$E$30,$E53,X$5:X$30,"Censored")</f>
        <v>0</v>
      </c>
      <c r="Y54" s="81">
        <f>COUNTIFS($E$5:$E$30,$E53,Y$5:Y$30,"Censored")</f>
        <v>0</v>
      </c>
      <c r="Z54" s="81">
        <f>COUNTIFS($E$5:$E$30,$E53,Z$5:Z$30,"Censored")</f>
        <v>0</v>
      </c>
      <c r="AA54" s="81">
        <f>COUNTIFS($E$5:$E$30,$E53,AA$5:AA$30,"Censored")</f>
        <v>0</v>
      </c>
      <c r="AB54" s="81">
        <f>COUNTIFS($E$5:$E$30,$E53,AB$5:AB$30,"Censored")</f>
        <v>0</v>
      </c>
      <c r="AC54" s="81">
        <f>COUNTIFS($E$5:$E$30,$E53,AC$5:AC$30,"Censored")</f>
        <v>0</v>
      </c>
      <c r="AD54" s="81">
        <f>COUNTIFS($E$5:$E$30,$E53,AD$5:AD$30,"Censored")</f>
        <v>0</v>
      </c>
      <c r="AE54" s="81">
        <f>COUNTIFS($E$5:$E$30,$E53,AE$5:AE$30,"Censored")</f>
        <v>0</v>
      </c>
      <c r="AF54" s="81">
        <f>COUNTIFS($E$5:$E$30,$E53,AF$5:AF$30,"Censored")</f>
        <v>0</v>
      </c>
      <c r="AG54" s="81">
        <f>COUNTIFS($E$5:$E$30,$E53,AG$5:AG$30,"Censored")</f>
        <v>0</v>
      </c>
      <c r="AH54" s="81">
        <f>COUNTIFS($E$5:$E$30,$E53,AH$5:AH$30,"Censored")</f>
        <v>0</v>
      </c>
      <c r="AI54" s="81">
        <f>COUNTIFS($E$5:$E$30,$E53,AI$5:AI$30,"Censored")</f>
        <v>0</v>
      </c>
      <c r="AJ54" s="81">
        <f>COUNTIFS($E$5:$E$30,$E53,AJ$5:AJ$30,"Censored")</f>
        <v>0</v>
      </c>
      <c r="AK54" s="81">
        <f>COUNTIFS($E$5:$E$30,$E53,AK$5:AK$30,"Censored")</f>
        <v>0</v>
      </c>
      <c r="AL54" s="81">
        <f>COUNTIFS($E$5:$E$30,$E53,AL$5:AL$30,"Censored")</f>
        <v>0</v>
      </c>
      <c r="AM54" s="81">
        <f>COUNTIFS($E$5:$E$30,$E53,AM$5:AM$30,"Censored")</f>
        <v>0</v>
      </c>
      <c r="AN54" s="81">
        <f>COUNTIFS($E$5:$E$30,$E53,AN$5:AN$30,"Censored")</f>
        <v>0</v>
      </c>
      <c r="AO54" s="81">
        <f>COUNTIFS($E$5:$E$30,$E53,AO$5:AO$30,"Censored")</f>
        <v>0</v>
      </c>
      <c r="AP54" s="81">
        <f>COUNTIFS($E$5:$E$30,$E53,AP$5:AP$30,"Censored")</f>
        <v>0</v>
      </c>
      <c r="AQ54" s="81">
        <f>COUNTIFS($E$5:$E$30,$E53,AQ$5:AQ$30,"Censored")</f>
        <v>0</v>
      </c>
      <c r="AR54" s="81">
        <f>COUNTIFS($E$5:$E$30,$E53,AR$5:AR$30,"Censored")</f>
        <v>0</v>
      </c>
      <c r="AS54" s="81">
        <f>COUNTIFS($E$5:$E$30,$E53,AS$5:AS$30,"Censored")</f>
        <v>0</v>
      </c>
      <c r="AT54" s="81">
        <f>COUNTIFS($E$5:$E$30,$E53,AT$5:AT$30,"Censored")</f>
        <v>0</v>
      </c>
      <c r="AU54" s="81">
        <f>COUNTIFS($E$5:$E$30,$E53,AU$5:AU$30,"Censored")</f>
        <v>0</v>
      </c>
      <c r="AV54" s="81">
        <f>COUNTIFS($E$5:$E$30,$E53,AV$5:AV$30,"Censored")</f>
        <v>0</v>
      </c>
      <c r="AW54" s="81">
        <f>COUNTIFS($E$5:$E$30,$E53,AW$5:AW$30,"Censored")</f>
        <v>0</v>
      </c>
      <c r="AX54" s="81">
        <f>COUNTIFS($E$5:$E$30,$E53,AX$5:AX$30,"Censored")</f>
        <v>0</v>
      </c>
      <c r="AY54" s="81">
        <f>COUNTIFS($E$5:$E$30,$E53,AY$5:AY$30,"Censored")</f>
        <v>0</v>
      </c>
      <c r="AZ54" s="81">
        <f>COUNTIFS($E$5:$E$30,$E53,AZ$5:AZ$30,"Censored")</f>
        <v>0</v>
      </c>
      <c r="BA54" s="81">
        <f>COUNTIFS($E$5:$E$30,$E53,BA$5:BA$30,"Censored")</f>
        <v>0</v>
      </c>
      <c r="BB54" s="76"/>
    </row>
    <row r="55" spans="1:54" ht="14.25" customHeight="1">
      <c r="A55" s="46"/>
      <c r="B55" s="45"/>
      <c r="C55" s="47"/>
      <c r="D55" s="45"/>
      <c r="E55" s="92"/>
      <c r="F55" s="71"/>
      <c r="G55" s="82"/>
      <c r="H55" s="93"/>
      <c r="I55" s="144" t="s">
        <v>53</v>
      </c>
      <c r="J55" s="74">
        <f>J53/(COUNTIFS($E$5:$E$30,$E53,J$5:J$30,"Alive")+COUNTIFS($E$5:$E$30,$E53,J$5:J$30,"Sacrificed")+COUNTIFS($E$5:$E$30,$E53,J$5:J$30,"Died"))</f>
        <v>1</v>
      </c>
      <c r="K55" s="74">
        <f>K53/(COUNTIFS($E$5:$E$30,$E53,K$5:K$30,"Alive")+COUNTIFS($E$5:$E$30,$E53,K$5:K$30,"Sacrificed")+COUNTIFS($E$5:$E$30,$E53,K$5:K$30,"Died"))*J55</f>
        <v>1</v>
      </c>
      <c r="L55" s="74">
        <f>L53/(COUNTIFS($E$5:$E$30,$E53,L$5:L$30,"Alive")+COUNTIFS($E$5:$E$30,$E53,L$5:L$30,"Sacrificed")+COUNTIFS($E$5:$E$30,$E53,L$5:L$30,"Died"))*K55</f>
        <v>1</v>
      </c>
      <c r="M55" s="74">
        <f>M53/(COUNTIFS($E$5:$E$30,$E53,M$5:M$30,"Alive")+COUNTIFS($E$5:$E$30,$E53,M$5:M$30,"Sacrificed")+COUNTIFS($E$5:$E$30,$E53,M$5:M$30,"Died"))*L55</f>
        <v>1</v>
      </c>
      <c r="N55" s="74">
        <f>N53/(COUNTIFS($E$5:$E$30,$E53,N$5:N$30,"Alive")+COUNTIFS($E$5:$E$30,$E53,N$5:N$30,"Sacrificed")+COUNTIFS($E$5:$E$30,$E53,N$5:N$30,"Died"))*M55</f>
        <v>1</v>
      </c>
      <c r="O55" s="74">
        <f>O53/(COUNTIFS($E$5:$E$30,$E53,O$5:O$30,"Alive")+COUNTIFS($E$5:$E$30,$E53,O$5:O$30,"Sacrificed")+COUNTIFS($E$5:$E$30,$E53,O$5:O$30,"Died"))*N55</f>
        <v>1</v>
      </c>
      <c r="P55" s="74">
        <f>P53/(COUNTIFS($E$5:$E$30,$E53,P$5:P$30,"Alive")+COUNTIFS($E$5:$E$30,$E53,P$5:P$30,"Sacrificed")+COUNTIFS($E$5:$E$30,$E53,P$5:P$30,"Died"))*O55</f>
        <v>1</v>
      </c>
      <c r="Q55" s="74">
        <f>Q53/(COUNTIFS($E$5:$E$30,$E53,Q$5:Q$30,"Alive")+COUNTIFS($E$5:$E$30,$E53,Q$5:Q$30,"Sacrificed")+COUNTIFS($E$5:$E$30,$E53,Q$5:Q$30,"Died"))*P55</f>
        <v>1</v>
      </c>
      <c r="R55" s="74">
        <f>R53/(COUNTIFS($E$5:$E$30,$E53,R$5:R$30,"Alive")+COUNTIFS($E$5:$E$30,$E53,R$5:R$30,"Sacrificed")+COUNTIFS($E$5:$E$30,$E53,R$5:R$30,"Died"))*Q55</f>
        <v>1</v>
      </c>
      <c r="S55" s="74">
        <f>S53/(COUNTIFS($E$5:$E$30,$E53,S$5:S$30,"Alive")+COUNTIFS($E$5:$E$30,$E53,S$5:S$30,"Sacrificed")+COUNTIFS($E$5:$E$30,$E53,S$5:S$30,"Died"))*R55</f>
        <v>0</v>
      </c>
      <c r="T55" s="74" t="e">
        <f>T53/(COUNTIFS($E$5:$E$30,$E53,T$5:T$30,"Alive")+COUNTIFS($E$5:$E$30,$E53,T$5:T$30,"Sacrificed")+COUNTIFS($E$5:$E$30,$E53,T$5:T$30,"Died"))*S55</f>
        <v>#DIV/0!</v>
      </c>
      <c r="U55" s="74" t="e">
        <f>U53/(COUNTIFS($E$5:$E$30,$E53,U$5:U$30,"Alive")+COUNTIFS($E$5:$E$30,$E53,U$5:U$30,"Sacrificed")+COUNTIFS($E$5:$E$30,$E53,U$5:U$30,"Died"))*T55</f>
        <v>#DIV/0!</v>
      </c>
      <c r="V55" s="74" t="e">
        <f>V53/(COUNTIFS($E$5:$E$30,$E53,V$5:V$30,"Alive")+COUNTIFS($E$5:$E$30,$E53,V$5:V$30,"Sacrificed")+COUNTIFS($E$5:$E$30,$E53,V$5:V$30,"Died"))*U55</f>
        <v>#DIV/0!</v>
      </c>
      <c r="W55" s="74" t="e">
        <f>W53/(COUNTIFS($E$5:$E$30,$E53,W$5:W$30,"Alive")+COUNTIFS($E$5:$E$30,$E53,W$5:W$30,"Sacrificed")+COUNTIFS($E$5:$E$30,$E53,W$5:W$30,"Died"))*V55</f>
        <v>#DIV/0!</v>
      </c>
      <c r="X55" s="74" t="e">
        <f>X53/(COUNTIFS($E$5:$E$30,$E53,X$5:X$30,"Alive")+COUNTIFS($E$5:$E$30,$E53,X$5:X$30,"Sacrificed")+COUNTIFS($E$5:$E$30,$E53,X$5:X$30,"Died"))*W55</f>
        <v>#DIV/0!</v>
      </c>
      <c r="Y55" s="74" t="e">
        <f>Y53/(COUNTIFS($E$5:$E$30,$E53,Y$5:Y$30,"Alive")+COUNTIFS($E$5:$E$30,$E53,Y$5:Y$30,"Sacrificed")+COUNTIFS($E$5:$E$30,$E53,Y$5:Y$30,"Died"))*X55</f>
        <v>#DIV/0!</v>
      </c>
      <c r="Z55" s="74" t="e">
        <f>Z53/(COUNTIFS($E$5:$E$30,$E53,Z$5:Z$30,"Alive")+COUNTIFS($E$5:$E$30,$E53,Z$5:Z$30,"Sacrificed")+COUNTIFS($E$5:$E$30,$E53,Z$5:Z$30,"Died"))*Y55</f>
        <v>#DIV/0!</v>
      </c>
      <c r="AA55" s="74" t="e">
        <f>AA53/(COUNTIFS($E$5:$E$30,$E53,AA$5:AA$30,"Alive")+COUNTIFS($E$5:$E$30,$E53,AA$5:AA$30,"Sacrificed")+COUNTIFS($E$5:$E$30,$E53,AA$5:AA$30,"Died"))*Z55</f>
        <v>#DIV/0!</v>
      </c>
      <c r="AB55" s="74" t="e">
        <f>AB53/(COUNTIFS($E$5:$E$30,$E53,AB$5:AB$30,"Alive")+COUNTIFS($E$5:$E$30,$E53,AB$5:AB$30,"Sacrificed")+COUNTIFS($E$5:$E$30,$E53,AB$5:AB$30,"Died"))*AA55</f>
        <v>#DIV/0!</v>
      </c>
      <c r="AC55" s="74" t="e">
        <f>AC53/(COUNTIFS($E$5:$E$30,$E53,AC$5:AC$30,"Alive")+COUNTIFS($E$5:$E$30,$E53,AC$5:AC$30,"Sacrificed")+COUNTIFS($E$5:$E$30,$E53,AC$5:AC$30,"Died"))*AB55</f>
        <v>#DIV/0!</v>
      </c>
      <c r="AD55" s="74" t="e">
        <f>AD53/(COUNTIFS($E$5:$E$30,$E53,AD$5:AD$30,"Alive")+COUNTIFS($E$5:$E$30,$E53,AD$5:AD$30,"Sacrificed")+COUNTIFS($E$5:$E$30,$E53,AD$5:AD$30,"Died"))*AC55</f>
        <v>#DIV/0!</v>
      </c>
      <c r="AE55" s="74" t="e">
        <f>AE53/(COUNTIFS($E$5:$E$30,$E53,AE$5:AE$30,"Alive")+COUNTIFS($E$5:$E$30,$E53,AE$5:AE$30,"Sacrificed")+COUNTIFS($E$5:$E$30,$E53,AE$5:AE$30,"Died"))*AD55</f>
        <v>#DIV/0!</v>
      </c>
      <c r="AF55" s="74" t="e">
        <f>AF53/(COUNTIFS($E$5:$E$30,$E53,AF$5:AF$30,"Alive")+COUNTIFS($E$5:$E$30,$E53,AF$5:AF$30,"Sacrificed")+COUNTIFS($E$5:$E$30,$E53,AF$5:AF$30,"Died"))*AE55</f>
        <v>#DIV/0!</v>
      </c>
      <c r="AG55" s="74" t="e">
        <f>AG53/(COUNTIFS($E$5:$E$30,$E53,AG$5:AG$30,"Alive")+COUNTIFS($E$5:$E$30,$E53,AG$5:AG$30,"Sacrificed")+COUNTIFS($E$5:$E$30,$E53,AG$5:AG$30,"Died"))*AF55</f>
        <v>#DIV/0!</v>
      </c>
      <c r="AH55" s="74" t="e">
        <f>AH53/(COUNTIFS($E$5:$E$30,$E53,AH$5:AH$30,"Alive")+COUNTIFS($E$5:$E$30,$E53,AH$5:AH$30,"Sacrificed")+COUNTIFS($E$5:$E$30,$E53,AH$5:AH$30,"Died"))*AG55</f>
        <v>#DIV/0!</v>
      </c>
      <c r="AI55" s="74" t="e">
        <f>AI53/(COUNTIFS($E$5:$E$30,$E53,AI$5:AI$30,"Alive")+COUNTIFS($E$5:$E$30,$E53,AI$5:AI$30,"Sacrificed")+COUNTIFS($E$5:$E$30,$E53,AI$5:AI$30,"Died"))*AH55</f>
        <v>#DIV/0!</v>
      </c>
      <c r="AJ55" s="74" t="e">
        <f>AJ53/(COUNTIFS($E$5:$E$30,$E53,AJ$5:AJ$30,"Alive")+COUNTIFS($E$5:$E$30,$E53,AJ$5:AJ$30,"Sacrificed")+COUNTIFS($E$5:$E$30,$E53,AJ$5:AJ$30,"Died"))*AI55</f>
        <v>#DIV/0!</v>
      </c>
      <c r="AK55" s="74" t="e">
        <f>AK53/(COUNTIFS($E$5:$E$30,$E53,AK$5:AK$30,"Alive")+COUNTIFS($E$5:$E$30,$E53,AK$5:AK$30,"Sacrificed")+COUNTIFS($E$5:$E$30,$E53,AK$5:AK$30,"Died"))*AJ55</f>
        <v>#DIV/0!</v>
      </c>
      <c r="AL55" s="74" t="e">
        <f>AL53/(COUNTIFS($E$5:$E$30,$E53,AL$5:AL$30,"Alive")+COUNTIFS($E$5:$E$30,$E53,AL$5:AL$30,"Sacrificed")+COUNTIFS($E$5:$E$30,$E53,AL$5:AL$30,"Died"))*AK55</f>
        <v>#DIV/0!</v>
      </c>
      <c r="AM55" s="74" t="e">
        <f>AM53/(COUNTIFS($E$5:$E$30,$E53,AM$5:AM$30,"Alive")+COUNTIFS($E$5:$E$30,$E53,AM$5:AM$30,"Sacrificed")+COUNTIFS($E$5:$E$30,$E53,AM$5:AM$30,"Died"))*AL55</f>
        <v>#DIV/0!</v>
      </c>
      <c r="AN55" s="74" t="e">
        <f>AN53/(COUNTIFS($E$5:$E$30,$E53,AN$5:AN$30,"Alive")+COUNTIFS($E$5:$E$30,$E53,AN$5:AN$30,"Sacrificed")+COUNTIFS($E$5:$E$30,$E53,AN$5:AN$30,"Died"))*AM55</f>
        <v>#DIV/0!</v>
      </c>
      <c r="AO55" s="74" t="e">
        <f>AO53/(COUNTIFS($E$5:$E$30,$E53,AO$5:AO$30,"Alive")+COUNTIFS($E$5:$E$30,$E53,AO$5:AO$30,"Sacrificed")+COUNTIFS($E$5:$E$30,$E53,AO$5:AO$30,"Died"))*AN55</f>
        <v>#DIV/0!</v>
      </c>
      <c r="AP55" s="74" t="e">
        <f>AP53/(COUNTIFS($E$5:$E$30,$E53,AP$5:AP$30,"Alive")+COUNTIFS($E$5:$E$30,$E53,AP$5:AP$30,"Sacrificed")+COUNTIFS($E$5:$E$30,$E53,AP$5:AP$30,"Died"))*AO55</f>
        <v>#DIV/0!</v>
      </c>
      <c r="AQ55" s="74" t="e">
        <f>AQ53/(COUNTIFS($E$5:$E$30,$E53,AQ$5:AQ$30,"Alive")+COUNTIFS($E$5:$E$30,$E53,AQ$5:AQ$30,"Sacrificed")+COUNTIFS($E$5:$E$30,$E53,AQ$5:AQ$30,"Died"))*AP55</f>
        <v>#DIV/0!</v>
      </c>
      <c r="AR55" s="74" t="e">
        <f>AR53/(COUNTIFS($E$5:$E$30,$E53,AR$5:AR$30,"Alive")+COUNTIFS($E$5:$E$30,$E53,AR$5:AR$30,"Sacrificed")+COUNTIFS($E$5:$E$30,$E53,AR$5:AR$30,"Died"))*AQ55</f>
        <v>#DIV/0!</v>
      </c>
      <c r="AS55" s="74" t="e">
        <f>AS53/(COUNTIFS($E$5:$E$30,$E53,AS$5:AS$30,"Alive")+COUNTIFS($E$5:$E$30,$E53,AS$5:AS$30,"Sacrificed")+COUNTIFS($E$5:$E$30,$E53,AS$5:AS$30,"Died"))*AR55</f>
        <v>#DIV/0!</v>
      </c>
      <c r="AT55" s="74" t="e">
        <f>AT53/(COUNTIFS($E$5:$E$30,$E53,AT$5:AT$30,"Alive")+COUNTIFS($E$5:$E$30,$E53,AT$5:AT$30,"Sacrificed")+COUNTIFS($E$5:$E$30,$E53,AT$5:AT$30,"Died"))*AS55</f>
        <v>#DIV/0!</v>
      </c>
      <c r="AU55" s="74" t="e">
        <f>AU53/(COUNTIFS($E$5:$E$30,$E53,AU$5:AU$30,"Alive")+COUNTIFS($E$5:$E$30,$E53,AU$5:AU$30,"Sacrificed")+COUNTIFS($E$5:$E$30,$E53,AU$5:AU$30,"Died"))*AT55</f>
        <v>#DIV/0!</v>
      </c>
      <c r="AV55" s="74" t="e">
        <f>AV53/(COUNTIFS($E$5:$E$30,$E53,AV$5:AV$30,"Alive")+COUNTIFS($E$5:$E$30,$E53,AV$5:AV$30,"Sacrificed")+COUNTIFS($E$5:$E$30,$E53,AV$5:AV$30,"Died"))*AU55</f>
        <v>#DIV/0!</v>
      </c>
      <c r="AW55" s="74" t="e">
        <f>AW53/(COUNTIFS($E$5:$E$30,$E53,AW$5:AW$30,"Alive")+COUNTIFS($E$5:$E$30,$E53,AW$5:AW$30,"Sacrificed")+COUNTIFS($E$5:$E$30,$E53,AW$5:AW$30,"Died"))*AV55</f>
        <v>#DIV/0!</v>
      </c>
      <c r="AX55" s="74" t="e">
        <f>AX53/(COUNTIFS($E$5:$E$30,$E53,AX$5:AX$30,"Alive")+COUNTIFS($E$5:$E$30,$E53,AX$5:AX$30,"Sacrificed")+COUNTIFS($E$5:$E$30,$E53,AX$5:AX$30,"Died"))*AW55</f>
        <v>#DIV/0!</v>
      </c>
      <c r="AY55" s="74" t="e">
        <f>AY53/(COUNTIFS($E$5:$E$30,$E53,AY$5:AY$30,"Alive")+COUNTIFS($E$5:$E$30,$E53,AY$5:AY$30,"Sacrificed")+COUNTIFS($E$5:$E$30,$E53,AY$5:AY$30,"Died"))*AX55</f>
        <v>#DIV/0!</v>
      </c>
      <c r="AZ55" s="74" t="e">
        <f>AZ53/(COUNTIFS($E$5:$E$30,$E53,AZ$5:AZ$30,"Alive")+COUNTIFS($E$5:$E$30,$E53,AZ$5:AZ$30,"Sacrificed")+COUNTIFS($E$5:$E$30,$E53,AZ$5:AZ$30,"Died"))*AY55</f>
        <v>#DIV/0!</v>
      </c>
      <c r="BA55" s="74" t="e">
        <f>BA53/(COUNTIFS($E$5:$E$30,$E53,BA$5:BA$30,"Alive")+COUNTIFS($E$5:$E$30,$E53,BA$5:BA$30,"Sacrificed")+COUNTIFS($E$5:$E$30,$E53,BA$5:BA$30,"Died"))*AZ55</f>
        <v>#DIV/0!</v>
      </c>
      <c r="BB55" s="3"/>
    </row>
    <row r="57" spans="1:54" ht="14.25" customHeight="1">
      <c r="A57" s="113"/>
      <c r="E57" s="118" t="str">
        <f>'FIG6 Groups'!C11</f>
        <v>Group 6</v>
      </c>
      <c r="H57" s="118" t="str">
        <f>E57</f>
        <v>Group 6</v>
      </c>
      <c r="I57" s="144" t="s">
        <v>52</v>
      </c>
      <c r="J57" s="78">
        <f>COUNTIFS($E$5:$E$30,$E57,J$5:J$30,"Alive")</f>
        <v>0</v>
      </c>
      <c r="K57" s="78">
        <f>COUNTIFS($E$5:$E$30,$E57,K$5:K$30,"Alive")</f>
        <v>0</v>
      </c>
      <c r="L57" s="78">
        <f>COUNTIFS($E$5:$E$30,$E57,L$5:L$30,"Alive")</f>
        <v>0</v>
      </c>
      <c r="M57" s="78">
        <f>COUNTIFS($E$5:$E$30,$E57,M$5:M$30,"Alive")</f>
        <v>0</v>
      </c>
      <c r="N57" s="78">
        <f>COUNTIFS($E$5:$E$30,$E57,N$5:N$30,"Alive")</f>
        <v>0</v>
      </c>
      <c r="O57" s="78">
        <f>COUNTIFS($E$5:$E$30,$E57,O$5:O$30,"Alive")</f>
        <v>0</v>
      </c>
      <c r="P57" s="78">
        <f>COUNTIFS($E$5:$E$30,$E57,P$5:P$30,"Alive")</f>
        <v>0</v>
      </c>
      <c r="Q57" s="78">
        <f>COUNTIFS($E$5:$E$30,$E57,Q$5:Q$30,"Alive")</f>
        <v>0</v>
      </c>
      <c r="R57" s="78">
        <f>COUNTIFS($E$5:$E$30,$E57,R$5:R$30,"Alive")</f>
        <v>0</v>
      </c>
      <c r="S57" s="78">
        <f>COUNTIFS($E$5:$E$30,$E57,S$5:S$30,"Alive")</f>
        <v>0</v>
      </c>
      <c r="T57" s="78">
        <f>COUNTIFS($E$5:$E$30,$E57,T$5:T$30,"Alive")</f>
        <v>0</v>
      </c>
      <c r="U57" s="78">
        <f>COUNTIFS($E$5:$E$30,$E57,U$5:U$30,"Alive")</f>
        <v>0</v>
      </c>
      <c r="V57" s="78">
        <f>COUNTIFS($E$5:$E$30,$E57,V$5:V$30,"Alive")</f>
        <v>0</v>
      </c>
      <c r="W57" s="78">
        <f>COUNTIFS($E$5:$E$30,$E57,W$5:W$30,"Alive")</f>
        <v>0</v>
      </c>
      <c r="X57" s="78">
        <f>COUNTIFS($E$5:$E$30,$E57,X$5:X$30,"Alive")</f>
        <v>0</v>
      </c>
      <c r="Y57" s="78">
        <f>COUNTIFS($E$5:$E$30,$E57,Y$5:Y$30,"Alive")</f>
        <v>0</v>
      </c>
      <c r="Z57" s="78">
        <f>COUNTIFS($E$5:$E$30,$E57,Z$5:Z$30,"Alive")</f>
        <v>0</v>
      </c>
      <c r="AA57" s="78">
        <f>COUNTIFS($E$5:$E$30,$E57,AA$5:AA$30,"Alive")</f>
        <v>0</v>
      </c>
      <c r="AB57" s="78">
        <f>COUNTIFS($E$5:$E$30,$E57,AB$5:AB$30,"Alive")</f>
        <v>0</v>
      </c>
      <c r="AC57" s="78">
        <f>COUNTIFS($E$5:$E$30,$E57,AC$5:AC$30,"Alive")</f>
        <v>0</v>
      </c>
      <c r="AD57" s="78">
        <f>COUNTIFS($E$5:$E$30,$E57,AD$5:AD$30,"Alive")</f>
        <v>0</v>
      </c>
      <c r="AE57" s="78">
        <f>COUNTIFS($E$5:$E$30,$E57,AE$5:AE$30,"Alive")</f>
        <v>0</v>
      </c>
      <c r="AF57" s="78">
        <f>COUNTIFS($E$5:$E$30,$E57,AF$5:AF$30,"Alive")</f>
        <v>0</v>
      </c>
      <c r="AG57" s="78">
        <f>COUNTIFS($E$5:$E$30,$E57,AG$5:AG$30,"Alive")</f>
        <v>0</v>
      </c>
      <c r="AH57" s="78">
        <f>COUNTIFS($E$5:$E$30,$E57,AH$5:AH$30,"Alive")</f>
        <v>0</v>
      </c>
      <c r="AI57" s="78">
        <f>COUNTIFS($E$5:$E$30,$E57,AI$5:AI$30,"Alive")</f>
        <v>0</v>
      </c>
      <c r="AJ57" s="78">
        <f>COUNTIFS($E$5:$E$30,$E57,AJ$5:AJ$30,"Alive")</f>
        <v>0</v>
      </c>
      <c r="AK57" s="78">
        <f>COUNTIFS($E$5:$E$30,$E57,AK$5:AK$30,"Alive")</f>
        <v>0</v>
      </c>
      <c r="AL57" s="78">
        <f>COUNTIFS($E$5:$E$30,$E57,AL$5:AL$30,"Alive")</f>
        <v>0</v>
      </c>
      <c r="AM57" s="78">
        <f>COUNTIFS($E$5:$E$30,$E57,AM$5:AM$30,"Alive")</f>
        <v>0</v>
      </c>
      <c r="AN57" s="78">
        <f>COUNTIFS($E$5:$E$30,$E57,AN$5:AN$30,"Alive")</f>
        <v>0</v>
      </c>
      <c r="AO57" s="78">
        <f>COUNTIFS($E$5:$E$30,$E57,AO$5:AO$30,"Alive")</f>
        <v>0</v>
      </c>
      <c r="AP57" s="78">
        <f>COUNTIFS($E$5:$E$30,$E57,AP$5:AP$30,"Alive")</f>
        <v>0</v>
      </c>
      <c r="AQ57" s="78">
        <f>COUNTIFS($E$5:$E$30,$E57,AQ$5:AQ$30,"Alive")</f>
        <v>0</v>
      </c>
      <c r="AR57" s="78">
        <f>COUNTIFS($E$5:$E$30,$E57,AR$5:AR$30,"Alive")</f>
        <v>0</v>
      </c>
      <c r="AS57" s="78">
        <f>COUNTIFS($E$5:$E$30,$E57,AS$5:AS$30,"Alive")</f>
        <v>0</v>
      </c>
      <c r="AT57" s="78">
        <f>COUNTIFS($E$5:$E$30,$E57,AT$5:AT$30,"Alive")</f>
        <v>0</v>
      </c>
      <c r="AU57" s="78">
        <f>COUNTIFS($E$5:$E$30,$E57,AU$5:AU$30,"Alive")</f>
        <v>0</v>
      </c>
      <c r="AV57" s="78">
        <f>COUNTIFS($E$5:$E$30,$E57,AV$5:AV$30,"Alive")</f>
        <v>0</v>
      </c>
      <c r="AW57" s="78">
        <f>COUNTIFS($E$5:$E$30,$E57,AW$5:AW$30,"Alive")</f>
        <v>0</v>
      </c>
      <c r="AX57" s="78">
        <f>COUNTIFS($E$5:$E$30,$E57,AX$5:AX$30,"Alive")</f>
        <v>0</v>
      </c>
      <c r="AY57" s="78">
        <f>COUNTIFS($E$5:$E$30,$E57,AY$5:AY$30,"Alive")</f>
        <v>0</v>
      </c>
      <c r="AZ57" s="78">
        <f>COUNTIFS($E$5:$E$30,$E57,AZ$5:AZ$30,"Alive")</f>
        <v>0</v>
      </c>
      <c r="BA57" s="78">
        <f>COUNTIFS($E$5:$E$30,$E57,BA$5:BA$30,"Alive")</f>
        <v>0</v>
      </c>
      <c r="BB57" s="76"/>
    </row>
    <row r="58" spans="1:54" ht="14.25" customHeight="1">
      <c r="A58" s="113"/>
      <c r="E58" s="93"/>
      <c r="H58" s="93"/>
      <c r="I58" s="144" t="s">
        <v>51</v>
      </c>
      <c r="J58" s="81">
        <f>COUNTIFS($E$5:$E$30,$E57,J$5:J$30,"Censored")</f>
        <v>0</v>
      </c>
      <c r="K58" s="81">
        <f>COUNTIFS($E$5:$E$30,$E57,K$5:K$30,"Censored")</f>
        <v>0</v>
      </c>
      <c r="L58" s="81">
        <f>COUNTIFS($E$5:$E$30,$E57,L$5:L$30,"Censored")</f>
        <v>0</v>
      </c>
      <c r="M58" s="81">
        <f>COUNTIFS($E$5:$E$30,$E57,M$5:M$30,"Censored")</f>
        <v>0</v>
      </c>
      <c r="N58" s="81">
        <f>COUNTIFS($E$5:$E$30,$E57,N$5:N$30,"Censored")</f>
        <v>0</v>
      </c>
      <c r="O58" s="81">
        <f>COUNTIFS($E$5:$E$30,$E57,O$5:O$30,"Censored")</f>
        <v>0</v>
      </c>
      <c r="P58" s="81">
        <f>COUNTIFS($E$5:$E$30,$E57,P$5:P$30,"Censored")</f>
        <v>0</v>
      </c>
      <c r="Q58" s="81">
        <f>COUNTIFS($E$5:$E$30,$E57,Q$5:Q$30,"Censored")</f>
        <v>0</v>
      </c>
      <c r="R58" s="81">
        <f>COUNTIFS($E$5:$E$30,$E57,R$5:R$30,"Censored")</f>
        <v>0</v>
      </c>
      <c r="S58" s="81">
        <f>COUNTIFS($E$5:$E$30,$E57,S$5:S$30,"Censored")</f>
        <v>0</v>
      </c>
      <c r="T58" s="81">
        <f>COUNTIFS($E$5:$E$30,$E57,T$5:T$30,"Censored")</f>
        <v>0</v>
      </c>
      <c r="U58" s="81">
        <f>COUNTIFS($E$5:$E$30,$E57,U$5:U$30,"Censored")</f>
        <v>0</v>
      </c>
      <c r="V58" s="81">
        <f>COUNTIFS($E$5:$E$30,$E57,V$5:V$30,"Censored")</f>
        <v>0</v>
      </c>
      <c r="W58" s="81">
        <f>COUNTIFS($E$5:$E$30,$E57,W$5:W$30,"Censored")</f>
        <v>0</v>
      </c>
      <c r="X58" s="81">
        <f>COUNTIFS($E$5:$E$30,$E57,X$5:X$30,"Censored")</f>
        <v>0</v>
      </c>
      <c r="Y58" s="81">
        <f>COUNTIFS($E$5:$E$30,$E57,Y$5:Y$30,"Censored")</f>
        <v>0</v>
      </c>
      <c r="Z58" s="81">
        <f>COUNTIFS($E$5:$E$30,$E57,Z$5:Z$30,"Censored")</f>
        <v>0</v>
      </c>
      <c r="AA58" s="81">
        <f>COUNTIFS($E$5:$E$30,$E57,AA$5:AA$30,"Censored")</f>
        <v>0</v>
      </c>
      <c r="AB58" s="81">
        <f>COUNTIFS($E$5:$E$30,$E57,AB$5:AB$30,"Censored")</f>
        <v>0</v>
      </c>
      <c r="AC58" s="81">
        <f>COUNTIFS($E$5:$E$30,$E57,AC$5:AC$30,"Censored")</f>
        <v>0</v>
      </c>
      <c r="AD58" s="81">
        <f>COUNTIFS($E$5:$E$30,$E57,AD$5:AD$30,"Censored")</f>
        <v>0</v>
      </c>
      <c r="AE58" s="81">
        <f>COUNTIFS($E$5:$E$30,$E57,AE$5:AE$30,"Censored")</f>
        <v>0</v>
      </c>
      <c r="AF58" s="81">
        <f>COUNTIFS($E$5:$E$30,$E57,AF$5:AF$30,"Censored")</f>
        <v>0</v>
      </c>
      <c r="AG58" s="81">
        <f>COUNTIFS($E$5:$E$30,$E57,AG$5:AG$30,"Censored")</f>
        <v>0</v>
      </c>
      <c r="AH58" s="81">
        <f>COUNTIFS($E$5:$E$30,$E57,AH$5:AH$30,"Censored")</f>
        <v>0</v>
      </c>
      <c r="AI58" s="81">
        <f>COUNTIFS($E$5:$E$30,$E57,AI$5:AI$30,"Censored")</f>
        <v>0</v>
      </c>
      <c r="AJ58" s="81">
        <f>COUNTIFS($E$5:$E$30,$E57,AJ$5:AJ$30,"Censored")</f>
        <v>0</v>
      </c>
      <c r="AK58" s="81">
        <f>COUNTIFS($E$5:$E$30,$E57,AK$5:AK$30,"Censored")</f>
        <v>0</v>
      </c>
      <c r="AL58" s="81">
        <f>COUNTIFS($E$5:$E$30,$E57,AL$5:AL$30,"Censored")</f>
        <v>0</v>
      </c>
      <c r="AM58" s="81">
        <f>COUNTIFS($E$5:$E$30,$E57,AM$5:AM$30,"Censored")</f>
        <v>0</v>
      </c>
      <c r="AN58" s="81">
        <f>COUNTIFS($E$5:$E$30,$E57,AN$5:AN$30,"Censored")</f>
        <v>0</v>
      </c>
      <c r="AO58" s="81">
        <f>COUNTIFS($E$5:$E$30,$E57,AO$5:AO$30,"Censored")</f>
        <v>0</v>
      </c>
      <c r="AP58" s="81">
        <f>COUNTIFS($E$5:$E$30,$E57,AP$5:AP$30,"Censored")</f>
        <v>0</v>
      </c>
      <c r="AQ58" s="81">
        <f>COUNTIFS($E$5:$E$30,$E57,AQ$5:AQ$30,"Censored")</f>
        <v>0</v>
      </c>
      <c r="AR58" s="81">
        <f>COUNTIFS($E$5:$E$30,$E57,AR$5:AR$30,"Censored")</f>
        <v>0</v>
      </c>
      <c r="AS58" s="81">
        <f>COUNTIFS($E$5:$E$30,$E57,AS$5:AS$30,"Censored")</f>
        <v>0</v>
      </c>
      <c r="AT58" s="81">
        <f>COUNTIFS($E$5:$E$30,$E57,AT$5:AT$30,"Censored")</f>
        <v>0</v>
      </c>
      <c r="AU58" s="81">
        <f>COUNTIFS($E$5:$E$30,$E57,AU$5:AU$30,"Censored")</f>
        <v>0</v>
      </c>
      <c r="AV58" s="81">
        <f>COUNTIFS($E$5:$E$30,$E57,AV$5:AV$30,"Censored")</f>
        <v>0</v>
      </c>
      <c r="AW58" s="81">
        <f>COUNTIFS($E$5:$E$30,$E57,AW$5:AW$30,"Censored")</f>
        <v>0</v>
      </c>
      <c r="AX58" s="81">
        <f>COUNTIFS($E$5:$E$30,$E57,AX$5:AX$30,"Censored")</f>
        <v>0</v>
      </c>
      <c r="AY58" s="81">
        <f>COUNTIFS($E$5:$E$30,$E57,AY$5:AY$30,"Censored")</f>
        <v>0</v>
      </c>
      <c r="AZ58" s="81">
        <f>COUNTIFS($E$5:$E$30,$E57,AZ$5:AZ$30,"Censored")</f>
        <v>0</v>
      </c>
      <c r="BA58" s="81">
        <f>COUNTIFS($E$5:$E$30,$E57,BA$5:BA$30,"Censored")</f>
        <v>0</v>
      </c>
      <c r="BB58" s="76"/>
    </row>
    <row r="59" spans="1:54" ht="14.25" customHeight="1">
      <c r="A59" s="46"/>
      <c r="B59" s="45"/>
      <c r="C59" s="47"/>
      <c r="D59" s="45"/>
      <c r="E59" s="92"/>
      <c r="F59" s="71"/>
      <c r="G59" s="82"/>
      <c r="H59" s="93"/>
      <c r="I59" s="144" t="s">
        <v>53</v>
      </c>
      <c r="J59" s="74" t="e">
        <f>J57/(COUNTIFS($E$5:$E$30,$E57,J$5:J$30,"Alive")+COUNTIFS($E$5:$E$30,$E57,J$5:J$30,"Sacrificed")+COUNTIFS($E$5:$E$30,$E57,J$5:J$30,"Died"))</f>
        <v>#DIV/0!</v>
      </c>
      <c r="K59" s="74" t="e">
        <f>K57/(COUNTIFS($E$5:$E$30,$E57,K$5:K$30,"Alive")+COUNTIFS($E$5:$E$30,$E57,K$5:K$30,"Sacrificed")+COUNTIFS($E$5:$E$30,$E57,K$5:K$30,"Died"))*J59</f>
        <v>#DIV/0!</v>
      </c>
      <c r="L59" s="74" t="e">
        <f>L57/(COUNTIFS($E$5:$E$30,$E57,L$5:L$30,"Alive")+COUNTIFS($E$5:$E$30,$E57,L$5:L$30,"Sacrificed")+COUNTIFS($E$5:$E$30,$E57,L$5:L$30,"Died"))*K59</f>
        <v>#DIV/0!</v>
      </c>
      <c r="M59" s="74" t="e">
        <f>M57/(COUNTIFS($E$5:$E$30,$E57,M$5:M$30,"Alive")+COUNTIFS($E$5:$E$30,$E57,M$5:M$30,"Sacrificed")+COUNTIFS($E$5:$E$30,$E57,M$5:M$30,"Died"))*L59</f>
        <v>#DIV/0!</v>
      </c>
      <c r="N59" s="74" t="e">
        <f>N57/(COUNTIFS($E$5:$E$30,$E57,N$5:N$30,"Alive")+COUNTIFS($E$5:$E$30,$E57,N$5:N$30,"Sacrificed")+COUNTIFS($E$5:$E$30,$E57,N$5:N$30,"Died"))*M59</f>
        <v>#DIV/0!</v>
      </c>
      <c r="O59" s="74" t="e">
        <f>O57/(COUNTIFS($E$5:$E$30,$E57,O$5:O$30,"Alive")+COUNTIFS($E$5:$E$30,$E57,O$5:O$30,"Sacrificed")+COUNTIFS($E$5:$E$30,$E57,O$5:O$30,"Died"))*N59</f>
        <v>#DIV/0!</v>
      </c>
      <c r="P59" s="74" t="e">
        <f>P57/(COUNTIFS($E$5:$E$30,$E57,P$5:P$30,"Alive")+COUNTIFS($E$5:$E$30,$E57,P$5:P$30,"Sacrificed")+COUNTIFS($E$5:$E$30,$E57,P$5:P$30,"Died"))*O59</f>
        <v>#DIV/0!</v>
      </c>
      <c r="Q59" s="74" t="e">
        <f>Q57/(COUNTIFS($E$5:$E$30,$E57,Q$5:Q$30,"Alive")+COUNTIFS($E$5:$E$30,$E57,Q$5:Q$30,"Sacrificed")+COUNTIFS($E$5:$E$30,$E57,Q$5:Q$30,"Died"))*P59</f>
        <v>#DIV/0!</v>
      </c>
      <c r="R59" s="74" t="e">
        <f>R57/(COUNTIFS($E$5:$E$30,$E57,R$5:R$30,"Alive")+COUNTIFS($E$5:$E$30,$E57,R$5:R$30,"Sacrificed")+COUNTIFS($E$5:$E$30,$E57,R$5:R$30,"Died"))*Q59</f>
        <v>#DIV/0!</v>
      </c>
      <c r="S59" s="74" t="e">
        <f>S57/(COUNTIFS($E$5:$E$30,$E57,S$5:S$30,"Alive")+COUNTIFS($E$5:$E$30,$E57,S$5:S$30,"Sacrificed")+COUNTIFS($E$5:$E$30,$E57,S$5:S$30,"Died"))*R59</f>
        <v>#DIV/0!</v>
      </c>
      <c r="T59" s="74" t="e">
        <f>T57/(COUNTIFS($E$5:$E$30,$E57,T$5:T$30,"Alive")+COUNTIFS($E$5:$E$30,$E57,T$5:T$30,"Sacrificed")+COUNTIFS($E$5:$E$30,$E57,T$5:T$30,"Died"))*S59</f>
        <v>#DIV/0!</v>
      </c>
      <c r="U59" s="74" t="e">
        <f>U57/(COUNTIFS($E$5:$E$30,$E57,U$5:U$30,"Alive")+COUNTIFS($E$5:$E$30,$E57,U$5:U$30,"Sacrificed")+COUNTIFS($E$5:$E$30,$E57,U$5:U$30,"Died"))*T59</f>
        <v>#DIV/0!</v>
      </c>
      <c r="V59" s="74" t="e">
        <f>V57/(COUNTIFS($E$5:$E$30,$E57,V$5:V$30,"Alive")+COUNTIFS($E$5:$E$30,$E57,V$5:V$30,"Sacrificed")+COUNTIFS($E$5:$E$30,$E57,V$5:V$30,"Died"))*U59</f>
        <v>#DIV/0!</v>
      </c>
      <c r="W59" s="74" t="e">
        <f>W57/(COUNTIFS($E$5:$E$30,$E57,W$5:W$30,"Alive")+COUNTIFS($E$5:$E$30,$E57,W$5:W$30,"Sacrificed")+COUNTIFS($E$5:$E$30,$E57,W$5:W$30,"Died"))*V59</f>
        <v>#DIV/0!</v>
      </c>
      <c r="X59" s="74" t="e">
        <f>X57/(COUNTIFS($E$5:$E$30,$E57,X$5:X$30,"Alive")+COUNTIFS($E$5:$E$30,$E57,X$5:X$30,"Sacrificed")+COUNTIFS($E$5:$E$30,$E57,X$5:X$30,"Died"))*W59</f>
        <v>#DIV/0!</v>
      </c>
      <c r="Y59" s="74" t="e">
        <f>Y57/(COUNTIFS($E$5:$E$30,$E57,Y$5:Y$30,"Alive")+COUNTIFS($E$5:$E$30,$E57,Y$5:Y$30,"Sacrificed")+COUNTIFS($E$5:$E$30,$E57,Y$5:Y$30,"Died"))*X59</f>
        <v>#DIV/0!</v>
      </c>
      <c r="Z59" s="74" t="e">
        <f>Z57/(COUNTIFS($E$5:$E$30,$E57,Z$5:Z$30,"Alive")+COUNTIFS($E$5:$E$30,$E57,Z$5:Z$30,"Sacrificed")+COUNTIFS($E$5:$E$30,$E57,Z$5:Z$30,"Died"))*Y59</f>
        <v>#DIV/0!</v>
      </c>
      <c r="AA59" s="74" t="e">
        <f>AA57/(COUNTIFS($E$5:$E$30,$E57,AA$5:AA$30,"Alive")+COUNTIFS($E$5:$E$30,$E57,AA$5:AA$30,"Sacrificed")+COUNTIFS($E$5:$E$30,$E57,AA$5:AA$30,"Died"))*Z59</f>
        <v>#DIV/0!</v>
      </c>
      <c r="AB59" s="74" t="e">
        <f>AB57/(COUNTIFS($E$5:$E$30,$E57,AB$5:AB$30,"Alive")+COUNTIFS($E$5:$E$30,$E57,AB$5:AB$30,"Sacrificed")+COUNTIFS($E$5:$E$30,$E57,AB$5:AB$30,"Died"))*AA59</f>
        <v>#DIV/0!</v>
      </c>
      <c r="AC59" s="74" t="e">
        <f>AC57/(COUNTIFS($E$5:$E$30,$E57,AC$5:AC$30,"Alive")+COUNTIFS($E$5:$E$30,$E57,AC$5:AC$30,"Sacrificed")+COUNTIFS($E$5:$E$30,$E57,AC$5:AC$30,"Died"))*AB59</f>
        <v>#DIV/0!</v>
      </c>
      <c r="AD59" s="74" t="e">
        <f>AD57/(COUNTIFS($E$5:$E$30,$E57,AD$5:AD$30,"Alive")+COUNTIFS($E$5:$E$30,$E57,AD$5:AD$30,"Sacrificed")+COUNTIFS($E$5:$E$30,$E57,AD$5:AD$30,"Died"))*AC59</f>
        <v>#DIV/0!</v>
      </c>
      <c r="AE59" s="74" t="e">
        <f>AE57/(COUNTIFS($E$5:$E$30,$E57,AE$5:AE$30,"Alive")+COUNTIFS($E$5:$E$30,$E57,AE$5:AE$30,"Sacrificed")+COUNTIFS($E$5:$E$30,$E57,AE$5:AE$30,"Died"))*AD59</f>
        <v>#DIV/0!</v>
      </c>
      <c r="AF59" s="74" t="e">
        <f>AF57/(COUNTIFS($E$5:$E$30,$E57,AF$5:AF$30,"Alive")+COUNTIFS($E$5:$E$30,$E57,AF$5:AF$30,"Sacrificed")+COUNTIFS($E$5:$E$30,$E57,AF$5:AF$30,"Died"))*AE59</f>
        <v>#DIV/0!</v>
      </c>
      <c r="AG59" s="74" t="e">
        <f>AG57/(COUNTIFS($E$5:$E$30,$E57,AG$5:AG$30,"Alive")+COUNTIFS($E$5:$E$30,$E57,AG$5:AG$30,"Sacrificed")+COUNTIFS($E$5:$E$30,$E57,AG$5:AG$30,"Died"))*AF59</f>
        <v>#DIV/0!</v>
      </c>
      <c r="AH59" s="74" t="e">
        <f>AH57/(COUNTIFS($E$5:$E$30,$E57,AH$5:AH$30,"Alive")+COUNTIFS($E$5:$E$30,$E57,AH$5:AH$30,"Sacrificed")+COUNTIFS($E$5:$E$30,$E57,AH$5:AH$30,"Died"))*AG59</f>
        <v>#DIV/0!</v>
      </c>
      <c r="AI59" s="74" t="e">
        <f>AI57/(COUNTIFS($E$5:$E$30,$E57,AI$5:AI$30,"Alive")+COUNTIFS($E$5:$E$30,$E57,AI$5:AI$30,"Sacrificed")+COUNTIFS($E$5:$E$30,$E57,AI$5:AI$30,"Died"))*AH59</f>
        <v>#DIV/0!</v>
      </c>
      <c r="AJ59" s="74" t="e">
        <f>AJ57/(COUNTIFS($E$5:$E$30,$E57,AJ$5:AJ$30,"Alive")+COUNTIFS($E$5:$E$30,$E57,AJ$5:AJ$30,"Sacrificed")+COUNTIFS($E$5:$E$30,$E57,AJ$5:AJ$30,"Died"))*AI59</f>
        <v>#DIV/0!</v>
      </c>
      <c r="AK59" s="74" t="e">
        <f>AK57/(COUNTIFS($E$5:$E$30,$E57,AK$5:AK$30,"Alive")+COUNTIFS($E$5:$E$30,$E57,AK$5:AK$30,"Sacrificed")+COUNTIFS($E$5:$E$30,$E57,AK$5:AK$30,"Died"))*AJ59</f>
        <v>#DIV/0!</v>
      </c>
      <c r="AL59" s="74" t="e">
        <f>AL57/(COUNTIFS($E$5:$E$30,$E57,AL$5:AL$30,"Alive")+COUNTIFS($E$5:$E$30,$E57,AL$5:AL$30,"Sacrificed")+COUNTIFS($E$5:$E$30,$E57,AL$5:AL$30,"Died"))*AK59</f>
        <v>#DIV/0!</v>
      </c>
      <c r="AM59" s="74" t="e">
        <f>AM57/(COUNTIFS($E$5:$E$30,$E57,AM$5:AM$30,"Alive")+COUNTIFS($E$5:$E$30,$E57,AM$5:AM$30,"Sacrificed")+COUNTIFS($E$5:$E$30,$E57,AM$5:AM$30,"Died"))*AL59</f>
        <v>#DIV/0!</v>
      </c>
      <c r="AN59" s="74" t="e">
        <f>AN57/(COUNTIFS($E$5:$E$30,$E57,AN$5:AN$30,"Alive")+COUNTIFS($E$5:$E$30,$E57,AN$5:AN$30,"Sacrificed")+COUNTIFS($E$5:$E$30,$E57,AN$5:AN$30,"Died"))*AM59</f>
        <v>#DIV/0!</v>
      </c>
      <c r="AO59" s="74" t="e">
        <f>AO57/(COUNTIFS($E$5:$E$30,$E57,AO$5:AO$30,"Alive")+COUNTIFS($E$5:$E$30,$E57,AO$5:AO$30,"Sacrificed")+COUNTIFS($E$5:$E$30,$E57,AO$5:AO$30,"Died"))*AN59</f>
        <v>#DIV/0!</v>
      </c>
      <c r="AP59" s="74" t="e">
        <f>AP57/(COUNTIFS($E$5:$E$30,$E57,AP$5:AP$30,"Alive")+COUNTIFS($E$5:$E$30,$E57,AP$5:AP$30,"Sacrificed")+COUNTIFS($E$5:$E$30,$E57,AP$5:AP$30,"Died"))*AO59</f>
        <v>#DIV/0!</v>
      </c>
      <c r="AQ59" s="74" t="e">
        <f>AQ57/(COUNTIFS($E$5:$E$30,$E57,AQ$5:AQ$30,"Alive")+COUNTIFS($E$5:$E$30,$E57,AQ$5:AQ$30,"Sacrificed")+COUNTIFS($E$5:$E$30,$E57,AQ$5:AQ$30,"Died"))*AP59</f>
        <v>#DIV/0!</v>
      </c>
      <c r="AR59" s="74" t="e">
        <f>AR57/(COUNTIFS($E$5:$E$30,$E57,AR$5:AR$30,"Alive")+COUNTIFS($E$5:$E$30,$E57,AR$5:AR$30,"Sacrificed")+COUNTIFS($E$5:$E$30,$E57,AR$5:AR$30,"Died"))*AQ59</f>
        <v>#DIV/0!</v>
      </c>
      <c r="AS59" s="74" t="e">
        <f>AS57/(COUNTIFS($E$5:$E$30,$E57,AS$5:AS$30,"Alive")+COUNTIFS($E$5:$E$30,$E57,AS$5:AS$30,"Sacrificed")+COUNTIFS($E$5:$E$30,$E57,AS$5:AS$30,"Died"))*AR59</f>
        <v>#DIV/0!</v>
      </c>
      <c r="AT59" s="74" t="e">
        <f>AT57/(COUNTIFS($E$5:$E$30,$E57,AT$5:AT$30,"Alive")+COUNTIFS($E$5:$E$30,$E57,AT$5:AT$30,"Sacrificed")+COUNTIFS($E$5:$E$30,$E57,AT$5:AT$30,"Died"))*AS59</f>
        <v>#DIV/0!</v>
      </c>
      <c r="AU59" s="74" t="e">
        <f>AU57/(COUNTIFS($E$5:$E$30,$E57,AU$5:AU$30,"Alive")+COUNTIFS($E$5:$E$30,$E57,AU$5:AU$30,"Sacrificed")+COUNTIFS($E$5:$E$30,$E57,AU$5:AU$30,"Died"))*AT59</f>
        <v>#DIV/0!</v>
      </c>
      <c r="AV59" s="74" t="e">
        <f>AV57/(COUNTIFS($E$5:$E$30,$E57,AV$5:AV$30,"Alive")+COUNTIFS($E$5:$E$30,$E57,AV$5:AV$30,"Sacrificed")+COUNTIFS($E$5:$E$30,$E57,AV$5:AV$30,"Died"))*AU59</f>
        <v>#DIV/0!</v>
      </c>
      <c r="AW59" s="74" t="e">
        <f>AW57/(COUNTIFS($E$5:$E$30,$E57,AW$5:AW$30,"Alive")+COUNTIFS($E$5:$E$30,$E57,AW$5:AW$30,"Sacrificed")+COUNTIFS($E$5:$E$30,$E57,AW$5:AW$30,"Died"))*AV59</f>
        <v>#DIV/0!</v>
      </c>
      <c r="AX59" s="74" t="e">
        <f>AX57/(COUNTIFS($E$5:$E$30,$E57,AX$5:AX$30,"Alive")+COUNTIFS($E$5:$E$30,$E57,AX$5:AX$30,"Sacrificed")+COUNTIFS($E$5:$E$30,$E57,AX$5:AX$30,"Died"))*AW59</f>
        <v>#DIV/0!</v>
      </c>
      <c r="AY59" s="74" t="e">
        <f>AY57/(COUNTIFS($E$5:$E$30,$E57,AY$5:AY$30,"Alive")+COUNTIFS($E$5:$E$30,$E57,AY$5:AY$30,"Sacrificed")+COUNTIFS($E$5:$E$30,$E57,AY$5:AY$30,"Died"))*AX59</f>
        <v>#DIV/0!</v>
      </c>
      <c r="AZ59" s="74" t="e">
        <f>AZ57/(COUNTIFS($E$5:$E$30,$E57,AZ$5:AZ$30,"Alive")+COUNTIFS($E$5:$E$30,$E57,AZ$5:AZ$30,"Sacrificed")+COUNTIFS($E$5:$E$30,$E57,AZ$5:AZ$30,"Died"))*AY59</f>
        <v>#DIV/0!</v>
      </c>
      <c r="BA59" s="74" t="e">
        <f>BA57/(COUNTIFS($E$5:$E$30,$E57,BA$5:BA$30,"Alive")+COUNTIFS($E$5:$E$30,$E57,BA$5:BA$30,"Sacrificed")+COUNTIFS($E$5:$E$30,$E57,BA$5:BA$30,"Died"))*AZ59</f>
        <v>#DIV/0!</v>
      </c>
      <c r="BB59" s="3"/>
    </row>
    <row r="61" spans="1:54" ht="14.25" customHeight="1">
      <c r="A61" s="113"/>
      <c r="E61" s="118" t="str">
        <f>'FIG6 Groups'!C12</f>
        <v>Group 7</v>
      </c>
      <c r="H61" s="118" t="str">
        <f>E61</f>
        <v>Group 7</v>
      </c>
      <c r="I61" s="144" t="s">
        <v>52</v>
      </c>
      <c r="J61" s="78">
        <f>COUNTIFS($E$5:$E$30,$E61,J$5:J$30,"Alive")</f>
        <v>0</v>
      </c>
      <c r="K61" s="78">
        <f>COUNTIFS($E$5:$E$30,$E61,K$5:K$30,"Alive")</f>
        <v>0</v>
      </c>
      <c r="L61" s="78">
        <f>COUNTIFS($E$5:$E$30,$E61,L$5:L$30,"Alive")</f>
        <v>0</v>
      </c>
      <c r="M61" s="78">
        <f>COUNTIFS($E$5:$E$30,$E61,M$5:M$30,"Alive")</f>
        <v>0</v>
      </c>
      <c r="N61" s="78">
        <f>COUNTIFS($E$5:$E$30,$E61,N$5:N$30,"Alive")</f>
        <v>0</v>
      </c>
      <c r="O61" s="78">
        <f>COUNTIFS($E$5:$E$30,$E61,O$5:O$30,"Alive")</f>
        <v>0</v>
      </c>
      <c r="P61" s="78">
        <f>COUNTIFS($E$5:$E$30,$E61,P$5:P$30,"Alive")</f>
        <v>0</v>
      </c>
      <c r="Q61" s="78">
        <f>COUNTIFS($E$5:$E$30,$E61,Q$5:Q$30,"Alive")</f>
        <v>0</v>
      </c>
      <c r="R61" s="78">
        <f>COUNTIFS($E$5:$E$30,$E61,R$5:R$30,"Alive")</f>
        <v>0</v>
      </c>
      <c r="S61" s="78">
        <f>COUNTIFS($E$5:$E$30,$E61,S$5:S$30,"Alive")</f>
        <v>0</v>
      </c>
      <c r="T61" s="78">
        <f>COUNTIFS($E$5:$E$30,$E61,T$5:T$30,"Alive")</f>
        <v>0</v>
      </c>
      <c r="U61" s="78">
        <f>COUNTIFS($E$5:$E$30,$E61,U$5:U$30,"Alive")</f>
        <v>0</v>
      </c>
      <c r="V61" s="78">
        <f>COUNTIFS($E$5:$E$30,$E61,V$5:V$30,"Alive")</f>
        <v>0</v>
      </c>
      <c r="W61" s="78">
        <f>COUNTIFS($E$5:$E$30,$E61,W$5:W$30,"Alive")</f>
        <v>0</v>
      </c>
      <c r="X61" s="78">
        <f>COUNTIFS($E$5:$E$30,$E61,X$5:X$30,"Alive")</f>
        <v>0</v>
      </c>
      <c r="Y61" s="78">
        <f>COUNTIFS($E$5:$E$30,$E61,Y$5:Y$30,"Alive")</f>
        <v>0</v>
      </c>
      <c r="Z61" s="78">
        <f>COUNTIFS($E$5:$E$30,$E61,Z$5:Z$30,"Alive")</f>
        <v>0</v>
      </c>
      <c r="AA61" s="78">
        <f>COUNTIFS($E$5:$E$30,$E61,AA$5:AA$30,"Alive")</f>
        <v>0</v>
      </c>
      <c r="AB61" s="78">
        <f>COUNTIFS($E$5:$E$30,$E61,AB$5:AB$30,"Alive")</f>
        <v>0</v>
      </c>
      <c r="AC61" s="78">
        <f>COUNTIFS($E$5:$E$30,$E61,AC$5:AC$30,"Alive")</f>
        <v>0</v>
      </c>
      <c r="AD61" s="78">
        <f>COUNTIFS($E$5:$E$30,$E61,AD$5:AD$30,"Alive")</f>
        <v>0</v>
      </c>
      <c r="AE61" s="78">
        <f>COUNTIFS($E$5:$E$30,$E61,AE$5:AE$30,"Alive")</f>
        <v>0</v>
      </c>
      <c r="AF61" s="78">
        <f>COUNTIFS($E$5:$E$30,$E61,AF$5:AF$30,"Alive")</f>
        <v>0</v>
      </c>
      <c r="AG61" s="78">
        <f>COUNTIFS($E$5:$E$30,$E61,AG$5:AG$30,"Alive")</f>
        <v>0</v>
      </c>
      <c r="AH61" s="78">
        <f>COUNTIFS($E$5:$E$30,$E61,AH$5:AH$30,"Alive")</f>
        <v>0</v>
      </c>
      <c r="AI61" s="78">
        <f>COUNTIFS($E$5:$E$30,$E61,AI$5:AI$30,"Alive")</f>
        <v>0</v>
      </c>
      <c r="AJ61" s="78">
        <f>COUNTIFS($E$5:$E$30,$E61,AJ$5:AJ$30,"Alive")</f>
        <v>0</v>
      </c>
      <c r="AK61" s="78">
        <f>COUNTIFS($E$5:$E$30,$E61,AK$5:AK$30,"Alive")</f>
        <v>0</v>
      </c>
      <c r="AL61" s="78">
        <f>COUNTIFS($E$5:$E$30,$E61,AL$5:AL$30,"Alive")</f>
        <v>0</v>
      </c>
      <c r="AM61" s="78">
        <f>COUNTIFS($E$5:$E$30,$E61,AM$5:AM$30,"Alive")</f>
        <v>0</v>
      </c>
      <c r="AN61" s="78">
        <f>COUNTIFS($E$5:$E$30,$E61,AN$5:AN$30,"Alive")</f>
        <v>0</v>
      </c>
      <c r="AO61" s="78">
        <f>COUNTIFS($E$5:$E$30,$E61,AO$5:AO$30,"Alive")</f>
        <v>0</v>
      </c>
      <c r="AP61" s="78">
        <f>COUNTIFS($E$5:$E$30,$E61,AP$5:AP$30,"Alive")</f>
        <v>0</v>
      </c>
      <c r="AQ61" s="78">
        <f>COUNTIFS($E$5:$E$30,$E61,AQ$5:AQ$30,"Alive")</f>
        <v>0</v>
      </c>
      <c r="AR61" s="78">
        <f>COUNTIFS($E$5:$E$30,$E61,AR$5:AR$30,"Alive")</f>
        <v>0</v>
      </c>
      <c r="AS61" s="78">
        <f>COUNTIFS($E$5:$E$30,$E61,AS$5:AS$30,"Alive")</f>
        <v>0</v>
      </c>
      <c r="AT61" s="78">
        <f>COUNTIFS($E$5:$E$30,$E61,AT$5:AT$30,"Alive")</f>
        <v>0</v>
      </c>
      <c r="AU61" s="78">
        <f>COUNTIFS($E$5:$E$30,$E61,AU$5:AU$30,"Alive")</f>
        <v>0</v>
      </c>
      <c r="AV61" s="78">
        <f>COUNTIFS($E$5:$E$30,$E61,AV$5:AV$30,"Alive")</f>
        <v>0</v>
      </c>
      <c r="AW61" s="78">
        <f>COUNTIFS($E$5:$E$30,$E61,AW$5:AW$30,"Alive")</f>
        <v>0</v>
      </c>
      <c r="AX61" s="78">
        <f>COUNTIFS($E$5:$E$30,$E61,AX$5:AX$30,"Alive")</f>
        <v>0</v>
      </c>
      <c r="AY61" s="78">
        <f>COUNTIFS($E$5:$E$30,$E61,AY$5:AY$30,"Alive")</f>
        <v>0</v>
      </c>
      <c r="AZ61" s="78">
        <f>COUNTIFS($E$5:$E$30,$E61,AZ$5:AZ$30,"Alive")</f>
        <v>0</v>
      </c>
      <c r="BA61" s="78">
        <f>COUNTIFS($E$5:$E$30,$E61,BA$5:BA$30,"Alive")</f>
        <v>0</v>
      </c>
      <c r="BB61" s="76"/>
    </row>
    <row r="62" spans="1:54" ht="14.25" customHeight="1">
      <c r="A62" s="113"/>
      <c r="E62" s="93"/>
      <c r="H62" s="93"/>
      <c r="I62" s="144" t="s">
        <v>51</v>
      </c>
      <c r="J62" s="81">
        <f>COUNTIFS($E$5:$E$30,$E61,J$5:J$30,"Censored")</f>
        <v>0</v>
      </c>
      <c r="K62" s="81">
        <f>COUNTIFS($E$5:$E$30,$E61,K$5:K$30,"Censored")</f>
        <v>0</v>
      </c>
      <c r="L62" s="81">
        <f>COUNTIFS($E$5:$E$30,$E61,L$5:L$30,"Censored")</f>
        <v>0</v>
      </c>
      <c r="M62" s="81">
        <f>COUNTIFS($E$5:$E$30,$E61,M$5:M$30,"Censored")</f>
        <v>0</v>
      </c>
      <c r="N62" s="81">
        <f>COUNTIFS($E$5:$E$30,$E61,N$5:N$30,"Censored")</f>
        <v>0</v>
      </c>
      <c r="O62" s="81">
        <f>COUNTIFS($E$5:$E$30,$E61,O$5:O$30,"Censored")</f>
        <v>0</v>
      </c>
      <c r="P62" s="81">
        <f>COUNTIFS($E$5:$E$30,$E61,P$5:P$30,"Censored")</f>
        <v>0</v>
      </c>
      <c r="Q62" s="81">
        <f>COUNTIFS($E$5:$E$30,$E61,Q$5:Q$30,"Censored")</f>
        <v>0</v>
      </c>
      <c r="R62" s="81">
        <f>COUNTIFS($E$5:$E$30,$E61,R$5:R$30,"Censored")</f>
        <v>0</v>
      </c>
      <c r="S62" s="81">
        <f>COUNTIFS($E$5:$E$30,$E61,S$5:S$30,"Censored")</f>
        <v>0</v>
      </c>
      <c r="T62" s="81">
        <f>COUNTIFS($E$5:$E$30,$E61,T$5:T$30,"Censored")</f>
        <v>0</v>
      </c>
      <c r="U62" s="81">
        <f>COUNTIFS($E$5:$E$30,$E61,U$5:U$30,"Censored")</f>
        <v>0</v>
      </c>
      <c r="V62" s="81">
        <f>COUNTIFS($E$5:$E$30,$E61,V$5:V$30,"Censored")</f>
        <v>0</v>
      </c>
      <c r="W62" s="81">
        <f>COUNTIFS($E$5:$E$30,$E61,W$5:W$30,"Censored")</f>
        <v>0</v>
      </c>
      <c r="X62" s="81">
        <f>COUNTIFS($E$5:$E$30,$E61,X$5:X$30,"Censored")</f>
        <v>0</v>
      </c>
      <c r="Y62" s="81">
        <f>COUNTIFS($E$5:$E$30,$E61,Y$5:Y$30,"Censored")</f>
        <v>0</v>
      </c>
      <c r="Z62" s="81">
        <f>COUNTIFS($E$5:$E$30,$E61,Z$5:Z$30,"Censored")</f>
        <v>0</v>
      </c>
      <c r="AA62" s="81">
        <f>COUNTIFS($E$5:$E$30,$E61,AA$5:AA$30,"Censored")</f>
        <v>0</v>
      </c>
      <c r="AB62" s="81">
        <f>COUNTIFS($E$5:$E$30,$E61,AB$5:AB$30,"Censored")</f>
        <v>0</v>
      </c>
      <c r="AC62" s="81">
        <f>COUNTIFS($E$5:$E$30,$E61,AC$5:AC$30,"Censored")</f>
        <v>0</v>
      </c>
      <c r="AD62" s="81">
        <f>COUNTIFS($E$5:$E$30,$E61,AD$5:AD$30,"Censored")</f>
        <v>0</v>
      </c>
      <c r="AE62" s="81">
        <f>COUNTIFS($E$5:$E$30,$E61,AE$5:AE$30,"Censored")</f>
        <v>0</v>
      </c>
      <c r="AF62" s="81">
        <f>COUNTIFS($E$5:$E$30,$E61,AF$5:AF$30,"Censored")</f>
        <v>0</v>
      </c>
      <c r="AG62" s="81">
        <f>COUNTIFS($E$5:$E$30,$E61,AG$5:AG$30,"Censored")</f>
        <v>0</v>
      </c>
      <c r="AH62" s="81">
        <f>COUNTIFS($E$5:$E$30,$E61,AH$5:AH$30,"Censored")</f>
        <v>0</v>
      </c>
      <c r="AI62" s="81">
        <f>COUNTIFS($E$5:$E$30,$E61,AI$5:AI$30,"Censored")</f>
        <v>0</v>
      </c>
      <c r="AJ62" s="81">
        <f>COUNTIFS($E$5:$E$30,$E61,AJ$5:AJ$30,"Censored")</f>
        <v>0</v>
      </c>
      <c r="AK62" s="81">
        <f>COUNTIFS($E$5:$E$30,$E61,AK$5:AK$30,"Censored")</f>
        <v>0</v>
      </c>
      <c r="AL62" s="81">
        <f>COUNTIFS($E$5:$E$30,$E61,AL$5:AL$30,"Censored")</f>
        <v>0</v>
      </c>
      <c r="AM62" s="81">
        <f>COUNTIFS($E$5:$E$30,$E61,AM$5:AM$30,"Censored")</f>
        <v>0</v>
      </c>
      <c r="AN62" s="81">
        <f>COUNTIFS($E$5:$E$30,$E61,AN$5:AN$30,"Censored")</f>
        <v>0</v>
      </c>
      <c r="AO62" s="81">
        <f>COUNTIFS($E$5:$E$30,$E61,AO$5:AO$30,"Censored")</f>
        <v>0</v>
      </c>
      <c r="AP62" s="81">
        <f>COUNTIFS($E$5:$E$30,$E61,AP$5:AP$30,"Censored")</f>
        <v>0</v>
      </c>
      <c r="AQ62" s="81">
        <f>COUNTIFS($E$5:$E$30,$E61,AQ$5:AQ$30,"Censored")</f>
        <v>0</v>
      </c>
      <c r="AR62" s="81">
        <f>COUNTIFS($E$5:$E$30,$E61,AR$5:AR$30,"Censored")</f>
        <v>0</v>
      </c>
      <c r="AS62" s="81">
        <f>COUNTIFS($E$5:$E$30,$E61,AS$5:AS$30,"Censored")</f>
        <v>0</v>
      </c>
      <c r="AT62" s="81">
        <f>COUNTIFS($E$5:$E$30,$E61,AT$5:AT$30,"Censored")</f>
        <v>0</v>
      </c>
      <c r="AU62" s="81">
        <f>COUNTIFS($E$5:$E$30,$E61,AU$5:AU$30,"Censored")</f>
        <v>0</v>
      </c>
      <c r="AV62" s="81">
        <f>COUNTIFS($E$5:$E$30,$E61,AV$5:AV$30,"Censored")</f>
        <v>0</v>
      </c>
      <c r="AW62" s="81">
        <f>COUNTIFS($E$5:$E$30,$E61,AW$5:AW$30,"Censored")</f>
        <v>0</v>
      </c>
      <c r="AX62" s="81">
        <f>COUNTIFS($E$5:$E$30,$E61,AX$5:AX$30,"Censored")</f>
        <v>0</v>
      </c>
      <c r="AY62" s="81">
        <f>COUNTIFS($E$5:$E$30,$E61,AY$5:AY$30,"Censored")</f>
        <v>0</v>
      </c>
      <c r="AZ62" s="81">
        <f>COUNTIFS($E$5:$E$30,$E61,AZ$5:AZ$30,"Censored")</f>
        <v>0</v>
      </c>
      <c r="BA62" s="81">
        <f>COUNTIFS($E$5:$E$30,$E61,BA$5:BA$30,"Censored")</f>
        <v>0</v>
      </c>
      <c r="BB62" s="76"/>
    </row>
    <row r="63" spans="1:54" ht="14.25" customHeight="1">
      <c r="A63" s="46"/>
      <c r="B63" s="45"/>
      <c r="C63" s="47"/>
      <c r="D63" s="45"/>
      <c r="E63" s="92"/>
      <c r="F63" s="71"/>
      <c r="G63" s="82"/>
      <c r="H63" s="93"/>
      <c r="I63" s="144" t="s">
        <v>53</v>
      </c>
      <c r="J63" s="74" t="e">
        <f>J61/(COUNTIFS($E$5:$E$30,$E61,J$5:J$30,"Alive")+COUNTIFS($E$5:$E$30,$E61,J$5:J$30,"Sacrificed")+COUNTIFS($E$5:$E$30,$E61,J$5:J$30,"Died"))</f>
        <v>#DIV/0!</v>
      </c>
      <c r="K63" s="74" t="e">
        <f>K61/(COUNTIFS($E$5:$E$30,$E61,K$5:K$30,"Alive")+COUNTIFS($E$5:$E$30,$E61,K$5:K$30,"Sacrificed")+COUNTIFS($E$5:$E$30,$E61,K$5:K$30,"Died"))*J63</f>
        <v>#DIV/0!</v>
      </c>
      <c r="L63" s="74" t="e">
        <f>L61/(COUNTIFS($E$5:$E$30,$E61,L$5:L$30,"Alive")+COUNTIFS($E$5:$E$30,$E61,L$5:L$30,"Sacrificed")+COUNTIFS($E$5:$E$30,$E61,L$5:L$30,"Died"))*K63</f>
        <v>#DIV/0!</v>
      </c>
      <c r="M63" s="74" t="e">
        <f>M61/(COUNTIFS($E$5:$E$30,$E61,M$5:M$30,"Alive")+COUNTIFS($E$5:$E$30,$E61,M$5:M$30,"Sacrificed")+COUNTIFS($E$5:$E$30,$E61,M$5:M$30,"Died"))*L63</f>
        <v>#DIV/0!</v>
      </c>
      <c r="N63" s="74" t="e">
        <f>N61/(COUNTIFS($E$5:$E$30,$E61,N$5:N$30,"Alive")+COUNTIFS($E$5:$E$30,$E61,N$5:N$30,"Sacrificed")+COUNTIFS($E$5:$E$30,$E61,N$5:N$30,"Died"))*M63</f>
        <v>#DIV/0!</v>
      </c>
      <c r="O63" s="74" t="e">
        <f>O61/(COUNTIFS($E$5:$E$30,$E61,O$5:O$30,"Alive")+COUNTIFS($E$5:$E$30,$E61,O$5:O$30,"Sacrificed")+COUNTIFS($E$5:$E$30,$E61,O$5:O$30,"Died"))*N63</f>
        <v>#DIV/0!</v>
      </c>
      <c r="P63" s="74" t="e">
        <f>P61/(COUNTIFS($E$5:$E$30,$E61,P$5:P$30,"Alive")+COUNTIFS($E$5:$E$30,$E61,P$5:P$30,"Sacrificed")+COUNTIFS($E$5:$E$30,$E61,P$5:P$30,"Died"))*O63</f>
        <v>#DIV/0!</v>
      </c>
      <c r="Q63" s="74" t="e">
        <f>Q61/(COUNTIFS($E$5:$E$30,$E61,Q$5:Q$30,"Alive")+COUNTIFS($E$5:$E$30,$E61,Q$5:Q$30,"Sacrificed")+COUNTIFS($E$5:$E$30,$E61,Q$5:Q$30,"Died"))*P63</f>
        <v>#DIV/0!</v>
      </c>
      <c r="R63" s="74" t="e">
        <f>R61/(COUNTIFS($E$5:$E$30,$E61,R$5:R$30,"Alive")+COUNTIFS($E$5:$E$30,$E61,R$5:R$30,"Sacrificed")+COUNTIFS($E$5:$E$30,$E61,R$5:R$30,"Died"))*Q63</f>
        <v>#DIV/0!</v>
      </c>
      <c r="S63" s="74" t="e">
        <f>S61/(COUNTIFS($E$5:$E$30,$E61,S$5:S$30,"Alive")+COUNTIFS($E$5:$E$30,$E61,S$5:S$30,"Sacrificed")+COUNTIFS($E$5:$E$30,$E61,S$5:S$30,"Died"))*R63</f>
        <v>#DIV/0!</v>
      </c>
      <c r="T63" s="74" t="e">
        <f>T61/(COUNTIFS($E$5:$E$30,$E61,T$5:T$30,"Alive")+COUNTIFS($E$5:$E$30,$E61,T$5:T$30,"Sacrificed")+COUNTIFS($E$5:$E$30,$E61,T$5:T$30,"Died"))*S63</f>
        <v>#DIV/0!</v>
      </c>
      <c r="U63" s="74" t="e">
        <f>U61/(COUNTIFS($E$5:$E$30,$E61,U$5:U$30,"Alive")+COUNTIFS($E$5:$E$30,$E61,U$5:U$30,"Sacrificed")+COUNTIFS($E$5:$E$30,$E61,U$5:U$30,"Died"))*T63</f>
        <v>#DIV/0!</v>
      </c>
      <c r="V63" s="74" t="e">
        <f>V61/(COUNTIFS($E$5:$E$30,$E61,V$5:V$30,"Alive")+COUNTIFS($E$5:$E$30,$E61,V$5:V$30,"Sacrificed")+COUNTIFS($E$5:$E$30,$E61,V$5:V$30,"Died"))*U63</f>
        <v>#DIV/0!</v>
      </c>
      <c r="W63" s="74" t="e">
        <f>W61/(COUNTIFS($E$5:$E$30,$E61,W$5:W$30,"Alive")+COUNTIFS($E$5:$E$30,$E61,W$5:W$30,"Sacrificed")+COUNTIFS($E$5:$E$30,$E61,W$5:W$30,"Died"))*V63</f>
        <v>#DIV/0!</v>
      </c>
      <c r="X63" s="74" t="e">
        <f>X61/(COUNTIFS($E$5:$E$30,$E61,X$5:X$30,"Alive")+COUNTIFS($E$5:$E$30,$E61,X$5:X$30,"Sacrificed")+COUNTIFS($E$5:$E$30,$E61,X$5:X$30,"Died"))*W63</f>
        <v>#DIV/0!</v>
      </c>
      <c r="Y63" s="74" t="e">
        <f>Y61/(COUNTIFS($E$5:$E$30,$E61,Y$5:Y$30,"Alive")+COUNTIFS($E$5:$E$30,$E61,Y$5:Y$30,"Sacrificed")+COUNTIFS($E$5:$E$30,$E61,Y$5:Y$30,"Died"))*X63</f>
        <v>#DIV/0!</v>
      </c>
      <c r="Z63" s="74" t="e">
        <f>Z61/(COUNTIFS($E$5:$E$30,$E61,Z$5:Z$30,"Alive")+COUNTIFS($E$5:$E$30,$E61,Z$5:Z$30,"Sacrificed")+COUNTIFS($E$5:$E$30,$E61,Z$5:Z$30,"Died"))*Y63</f>
        <v>#DIV/0!</v>
      </c>
      <c r="AA63" s="74" t="e">
        <f>AA61/(COUNTIFS($E$5:$E$30,$E61,AA$5:AA$30,"Alive")+COUNTIFS($E$5:$E$30,$E61,AA$5:AA$30,"Sacrificed")+COUNTIFS($E$5:$E$30,$E61,AA$5:AA$30,"Died"))*Z63</f>
        <v>#DIV/0!</v>
      </c>
      <c r="AB63" s="74" t="e">
        <f>AB61/(COUNTIFS($E$5:$E$30,$E61,AB$5:AB$30,"Alive")+COUNTIFS($E$5:$E$30,$E61,AB$5:AB$30,"Sacrificed")+COUNTIFS($E$5:$E$30,$E61,AB$5:AB$30,"Died"))*AA63</f>
        <v>#DIV/0!</v>
      </c>
      <c r="AC63" s="74" t="e">
        <f>AC61/(COUNTIFS($E$5:$E$30,$E61,AC$5:AC$30,"Alive")+COUNTIFS($E$5:$E$30,$E61,AC$5:AC$30,"Sacrificed")+COUNTIFS($E$5:$E$30,$E61,AC$5:AC$30,"Died"))*AB63</f>
        <v>#DIV/0!</v>
      </c>
      <c r="AD63" s="74" t="e">
        <f>AD61/(COUNTIFS($E$5:$E$30,$E61,AD$5:AD$30,"Alive")+COUNTIFS($E$5:$E$30,$E61,AD$5:AD$30,"Sacrificed")+COUNTIFS($E$5:$E$30,$E61,AD$5:AD$30,"Died"))*AC63</f>
        <v>#DIV/0!</v>
      </c>
      <c r="AE63" s="74" t="e">
        <f>AE61/(COUNTIFS($E$5:$E$30,$E61,AE$5:AE$30,"Alive")+COUNTIFS($E$5:$E$30,$E61,AE$5:AE$30,"Sacrificed")+COUNTIFS($E$5:$E$30,$E61,AE$5:AE$30,"Died"))*AD63</f>
        <v>#DIV/0!</v>
      </c>
      <c r="AF63" s="74" t="e">
        <f>AF61/(COUNTIFS($E$5:$E$30,$E61,AF$5:AF$30,"Alive")+COUNTIFS($E$5:$E$30,$E61,AF$5:AF$30,"Sacrificed")+COUNTIFS($E$5:$E$30,$E61,AF$5:AF$30,"Died"))*AE63</f>
        <v>#DIV/0!</v>
      </c>
      <c r="AG63" s="74" t="e">
        <f>AG61/(COUNTIFS($E$5:$E$30,$E61,AG$5:AG$30,"Alive")+COUNTIFS($E$5:$E$30,$E61,AG$5:AG$30,"Sacrificed")+COUNTIFS($E$5:$E$30,$E61,AG$5:AG$30,"Died"))*AF63</f>
        <v>#DIV/0!</v>
      </c>
      <c r="AH63" s="74" t="e">
        <f>AH61/(COUNTIFS($E$5:$E$30,$E61,AH$5:AH$30,"Alive")+COUNTIFS($E$5:$E$30,$E61,AH$5:AH$30,"Sacrificed")+COUNTIFS($E$5:$E$30,$E61,AH$5:AH$30,"Died"))*AG63</f>
        <v>#DIV/0!</v>
      </c>
      <c r="AI63" s="74" t="e">
        <f>AI61/(COUNTIFS($E$5:$E$30,$E61,AI$5:AI$30,"Alive")+COUNTIFS($E$5:$E$30,$E61,AI$5:AI$30,"Sacrificed")+COUNTIFS($E$5:$E$30,$E61,AI$5:AI$30,"Died"))*AH63</f>
        <v>#DIV/0!</v>
      </c>
      <c r="AJ63" s="74" t="e">
        <f>AJ61/(COUNTIFS($E$5:$E$30,$E61,AJ$5:AJ$30,"Alive")+COUNTIFS($E$5:$E$30,$E61,AJ$5:AJ$30,"Sacrificed")+COUNTIFS($E$5:$E$30,$E61,AJ$5:AJ$30,"Died"))*AI63</f>
        <v>#DIV/0!</v>
      </c>
      <c r="AK63" s="74" t="e">
        <f>AK61/(COUNTIFS($E$5:$E$30,$E61,AK$5:AK$30,"Alive")+COUNTIFS($E$5:$E$30,$E61,AK$5:AK$30,"Sacrificed")+COUNTIFS($E$5:$E$30,$E61,AK$5:AK$30,"Died"))*AJ63</f>
        <v>#DIV/0!</v>
      </c>
      <c r="AL63" s="74" t="e">
        <f>AL61/(COUNTIFS($E$5:$E$30,$E61,AL$5:AL$30,"Alive")+COUNTIFS($E$5:$E$30,$E61,AL$5:AL$30,"Sacrificed")+COUNTIFS($E$5:$E$30,$E61,AL$5:AL$30,"Died"))*AK63</f>
        <v>#DIV/0!</v>
      </c>
      <c r="AM63" s="74" t="e">
        <f>AM61/(COUNTIFS($E$5:$E$30,$E61,AM$5:AM$30,"Alive")+COUNTIFS($E$5:$E$30,$E61,AM$5:AM$30,"Sacrificed")+COUNTIFS($E$5:$E$30,$E61,AM$5:AM$30,"Died"))*AL63</f>
        <v>#DIV/0!</v>
      </c>
      <c r="AN63" s="74" t="e">
        <f>AN61/(COUNTIFS($E$5:$E$30,$E61,AN$5:AN$30,"Alive")+COUNTIFS($E$5:$E$30,$E61,AN$5:AN$30,"Sacrificed")+COUNTIFS($E$5:$E$30,$E61,AN$5:AN$30,"Died"))*AM63</f>
        <v>#DIV/0!</v>
      </c>
      <c r="AO63" s="74" t="e">
        <f>AO61/(COUNTIFS($E$5:$E$30,$E61,AO$5:AO$30,"Alive")+COUNTIFS($E$5:$E$30,$E61,AO$5:AO$30,"Sacrificed")+COUNTIFS($E$5:$E$30,$E61,AO$5:AO$30,"Died"))*AN63</f>
        <v>#DIV/0!</v>
      </c>
      <c r="AP63" s="74" t="e">
        <f>AP61/(COUNTIFS($E$5:$E$30,$E61,AP$5:AP$30,"Alive")+COUNTIFS($E$5:$E$30,$E61,AP$5:AP$30,"Sacrificed")+COUNTIFS($E$5:$E$30,$E61,AP$5:AP$30,"Died"))*AO63</f>
        <v>#DIV/0!</v>
      </c>
      <c r="AQ63" s="74" t="e">
        <f>AQ61/(COUNTIFS($E$5:$E$30,$E61,AQ$5:AQ$30,"Alive")+COUNTIFS($E$5:$E$30,$E61,AQ$5:AQ$30,"Sacrificed")+COUNTIFS($E$5:$E$30,$E61,AQ$5:AQ$30,"Died"))*AP63</f>
        <v>#DIV/0!</v>
      </c>
      <c r="AR63" s="74" t="e">
        <f>AR61/(COUNTIFS($E$5:$E$30,$E61,AR$5:AR$30,"Alive")+COUNTIFS($E$5:$E$30,$E61,AR$5:AR$30,"Sacrificed")+COUNTIFS($E$5:$E$30,$E61,AR$5:AR$30,"Died"))*AQ63</f>
        <v>#DIV/0!</v>
      </c>
      <c r="AS63" s="74" t="e">
        <f>AS61/(COUNTIFS($E$5:$E$30,$E61,AS$5:AS$30,"Alive")+COUNTIFS($E$5:$E$30,$E61,AS$5:AS$30,"Sacrificed")+COUNTIFS($E$5:$E$30,$E61,AS$5:AS$30,"Died"))*AR63</f>
        <v>#DIV/0!</v>
      </c>
      <c r="AT63" s="74" t="e">
        <f>AT61/(COUNTIFS($E$5:$E$30,$E61,AT$5:AT$30,"Alive")+COUNTIFS($E$5:$E$30,$E61,AT$5:AT$30,"Sacrificed")+COUNTIFS($E$5:$E$30,$E61,AT$5:AT$30,"Died"))*AS63</f>
        <v>#DIV/0!</v>
      </c>
      <c r="AU63" s="74" t="e">
        <f>AU61/(COUNTIFS($E$5:$E$30,$E61,AU$5:AU$30,"Alive")+COUNTIFS($E$5:$E$30,$E61,AU$5:AU$30,"Sacrificed")+COUNTIFS($E$5:$E$30,$E61,AU$5:AU$30,"Died"))*AT63</f>
        <v>#DIV/0!</v>
      </c>
      <c r="AV63" s="74" t="e">
        <f>AV61/(COUNTIFS($E$5:$E$30,$E61,AV$5:AV$30,"Alive")+COUNTIFS($E$5:$E$30,$E61,AV$5:AV$30,"Sacrificed")+COUNTIFS($E$5:$E$30,$E61,AV$5:AV$30,"Died"))*AU63</f>
        <v>#DIV/0!</v>
      </c>
      <c r="AW63" s="74" t="e">
        <f>AW61/(COUNTIFS($E$5:$E$30,$E61,AW$5:AW$30,"Alive")+COUNTIFS($E$5:$E$30,$E61,AW$5:AW$30,"Sacrificed")+COUNTIFS($E$5:$E$30,$E61,AW$5:AW$30,"Died"))*AV63</f>
        <v>#DIV/0!</v>
      </c>
      <c r="AX63" s="74" t="e">
        <f>AX61/(COUNTIFS($E$5:$E$30,$E61,AX$5:AX$30,"Alive")+COUNTIFS($E$5:$E$30,$E61,AX$5:AX$30,"Sacrificed")+COUNTIFS($E$5:$E$30,$E61,AX$5:AX$30,"Died"))*AW63</f>
        <v>#DIV/0!</v>
      </c>
      <c r="AY63" s="74" t="e">
        <f>AY61/(COUNTIFS($E$5:$E$30,$E61,AY$5:AY$30,"Alive")+COUNTIFS($E$5:$E$30,$E61,AY$5:AY$30,"Sacrificed")+COUNTIFS($E$5:$E$30,$E61,AY$5:AY$30,"Died"))*AX63</f>
        <v>#DIV/0!</v>
      </c>
      <c r="AZ63" s="74" t="e">
        <f>AZ61/(COUNTIFS($E$5:$E$30,$E61,AZ$5:AZ$30,"Alive")+COUNTIFS($E$5:$E$30,$E61,AZ$5:AZ$30,"Sacrificed")+COUNTIFS($E$5:$E$30,$E61,AZ$5:AZ$30,"Died"))*AY63</f>
        <v>#DIV/0!</v>
      </c>
      <c r="BA63" s="74" t="e">
        <f>BA61/(COUNTIFS($E$5:$E$30,$E61,BA$5:BA$30,"Alive")+COUNTIFS($E$5:$E$30,$E61,BA$5:BA$30,"Sacrificed")+COUNTIFS($E$5:$E$30,$E61,BA$5:BA$30,"Died"))*AZ63</f>
        <v>#DIV/0!</v>
      </c>
      <c r="BB63" s="3"/>
    </row>
    <row r="65" spans="1:54" ht="14.25" customHeight="1">
      <c r="A65" s="113"/>
      <c r="E65" s="118" t="str">
        <f>'FIG6 Groups'!C13</f>
        <v>Group 8</v>
      </c>
      <c r="H65" s="118" t="str">
        <f>E65</f>
        <v>Group 8</v>
      </c>
      <c r="I65" s="144" t="s">
        <v>52</v>
      </c>
      <c r="J65" s="78">
        <f>COUNTIFS($E$5:$E$30,$E65,J$5:J$30,"Alive")</f>
        <v>0</v>
      </c>
      <c r="K65" s="78">
        <f>COUNTIFS($E$5:$E$30,$E65,K$5:K$30,"Alive")</f>
        <v>0</v>
      </c>
      <c r="L65" s="78">
        <f>COUNTIFS($E$5:$E$30,$E65,L$5:L$30,"Alive")</f>
        <v>0</v>
      </c>
      <c r="M65" s="78">
        <f>COUNTIFS($E$5:$E$30,$E65,M$5:M$30,"Alive")</f>
        <v>0</v>
      </c>
      <c r="N65" s="78">
        <f>COUNTIFS($E$5:$E$30,$E65,N$5:N$30,"Alive")</f>
        <v>0</v>
      </c>
      <c r="O65" s="78">
        <f>COUNTIFS($E$5:$E$30,$E65,O$5:O$30,"Alive")</f>
        <v>0</v>
      </c>
      <c r="P65" s="78">
        <f>COUNTIFS($E$5:$E$30,$E65,P$5:P$30,"Alive")</f>
        <v>0</v>
      </c>
      <c r="Q65" s="78">
        <f>COUNTIFS($E$5:$E$30,$E65,Q$5:Q$30,"Alive")</f>
        <v>0</v>
      </c>
      <c r="R65" s="78">
        <f>COUNTIFS($E$5:$E$30,$E65,R$5:R$30,"Alive")</f>
        <v>0</v>
      </c>
      <c r="S65" s="78">
        <f>COUNTIFS($E$5:$E$30,$E65,S$5:S$30,"Alive")</f>
        <v>0</v>
      </c>
      <c r="T65" s="78">
        <f>COUNTIFS($E$5:$E$30,$E65,T$5:T$30,"Alive")</f>
        <v>0</v>
      </c>
      <c r="U65" s="78">
        <f>COUNTIFS($E$5:$E$30,$E65,U$5:U$30,"Alive")</f>
        <v>0</v>
      </c>
      <c r="V65" s="78">
        <f>COUNTIFS($E$5:$E$30,$E65,V$5:V$30,"Alive")</f>
        <v>0</v>
      </c>
      <c r="W65" s="78">
        <f>COUNTIFS($E$5:$E$30,$E65,W$5:W$30,"Alive")</f>
        <v>0</v>
      </c>
      <c r="X65" s="78">
        <f>COUNTIFS($E$5:$E$30,$E65,X$5:X$30,"Alive")</f>
        <v>0</v>
      </c>
      <c r="Y65" s="78">
        <f>COUNTIFS($E$5:$E$30,$E65,Y$5:Y$30,"Alive")</f>
        <v>0</v>
      </c>
      <c r="Z65" s="78">
        <f>COUNTIFS($E$5:$E$30,$E65,Z$5:Z$30,"Alive")</f>
        <v>0</v>
      </c>
      <c r="AA65" s="78">
        <f>COUNTIFS($E$5:$E$30,$E65,AA$5:AA$30,"Alive")</f>
        <v>0</v>
      </c>
      <c r="AB65" s="78">
        <f>COUNTIFS($E$5:$E$30,$E65,AB$5:AB$30,"Alive")</f>
        <v>0</v>
      </c>
      <c r="AC65" s="78">
        <f>COUNTIFS($E$5:$E$30,$E65,AC$5:AC$30,"Alive")</f>
        <v>0</v>
      </c>
      <c r="AD65" s="78">
        <f>COUNTIFS($E$5:$E$30,$E65,AD$5:AD$30,"Alive")</f>
        <v>0</v>
      </c>
      <c r="AE65" s="78">
        <f>COUNTIFS($E$5:$E$30,$E65,AE$5:AE$30,"Alive")</f>
        <v>0</v>
      </c>
      <c r="AF65" s="78">
        <f>COUNTIFS($E$5:$E$30,$E65,AF$5:AF$30,"Alive")</f>
        <v>0</v>
      </c>
      <c r="AG65" s="78">
        <f>COUNTIFS($E$5:$E$30,$E65,AG$5:AG$30,"Alive")</f>
        <v>0</v>
      </c>
      <c r="AH65" s="78">
        <f>COUNTIFS($E$5:$E$30,$E65,AH$5:AH$30,"Alive")</f>
        <v>0</v>
      </c>
      <c r="AI65" s="78">
        <f>COUNTIFS($E$5:$E$30,$E65,AI$5:AI$30,"Alive")</f>
        <v>0</v>
      </c>
      <c r="AJ65" s="78">
        <f>COUNTIFS($E$5:$E$30,$E65,AJ$5:AJ$30,"Alive")</f>
        <v>0</v>
      </c>
      <c r="AK65" s="78">
        <f>COUNTIFS($E$5:$E$30,$E65,AK$5:AK$30,"Alive")</f>
        <v>0</v>
      </c>
      <c r="AL65" s="78">
        <f>COUNTIFS($E$5:$E$30,$E65,AL$5:AL$30,"Alive")</f>
        <v>0</v>
      </c>
      <c r="AM65" s="78">
        <f>COUNTIFS($E$5:$E$30,$E65,AM$5:AM$30,"Alive")</f>
        <v>0</v>
      </c>
      <c r="AN65" s="78">
        <f>COUNTIFS($E$5:$E$30,$E65,AN$5:AN$30,"Alive")</f>
        <v>0</v>
      </c>
      <c r="AO65" s="78">
        <f>COUNTIFS($E$5:$E$30,$E65,AO$5:AO$30,"Alive")</f>
        <v>0</v>
      </c>
      <c r="AP65" s="78">
        <f>COUNTIFS($E$5:$E$30,$E65,AP$5:AP$30,"Alive")</f>
        <v>0</v>
      </c>
      <c r="AQ65" s="78">
        <f>COUNTIFS($E$5:$E$30,$E65,AQ$5:AQ$30,"Alive")</f>
        <v>0</v>
      </c>
      <c r="AR65" s="78">
        <f>COUNTIFS($E$5:$E$30,$E65,AR$5:AR$30,"Alive")</f>
        <v>0</v>
      </c>
      <c r="AS65" s="78">
        <f>COUNTIFS($E$5:$E$30,$E65,AS$5:AS$30,"Alive")</f>
        <v>0</v>
      </c>
      <c r="AT65" s="78">
        <f>COUNTIFS($E$5:$E$30,$E65,AT$5:AT$30,"Alive")</f>
        <v>0</v>
      </c>
      <c r="AU65" s="78">
        <f>COUNTIFS($E$5:$E$30,$E65,AU$5:AU$30,"Alive")</f>
        <v>0</v>
      </c>
      <c r="AV65" s="78">
        <f>COUNTIFS($E$5:$E$30,$E65,AV$5:AV$30,"Alive")</f>
        <v>0</v>
      </c>
      <c r="AW65" s="78">
        <f>COUNTIFS($E$5:$E$30,$E65,AW$5:AW$30,"Alive")</f>
        <v>0</v>
      </c>
      <c r="AX65" s="78">
        <f>COUNTIFS($E$5:$E$30,$E65,AX$5:AX$30,"Alive")</f>
        <v>0</v>
      </c>
      <c r="AY65" s="78">
        <f>COUNTIFS($E$5:$E$30,$E65,AY$5:AY$30,"Alive")</f>
        <v>0</v>
      </c>
      <c r="AZ65" s="78">
        <f>COUNTIFS($E$5:$E$30,$E65,AZ$5:AZ$30,"Alive")</f>
        <v>0</v>
      </c>
      <c r="BA65" s="78">
        <f>COUNTIFS($E$5:$E$30,$E65,BA$5:BA$30,"Alive")</f>
        <v>0</v>
      </c>
      <c r="BB65" s="76"/>
    </row>
    <row r="66" spans="1:54" ht="14.25" customHeight="1">
      <c r="A66" s="113"/>
      <c r="E66" s="93"/>
      <c r="H66" s="93"/>
      <c r="I66" s="144" t="s">
        <v>51</v>
      </c>
      <c r="J66" s="81">
        <f>COUNTIFS($E$5:$E$30,$E65,J$5:J$30,"Censored")</f>
        <v>0</v>
      </c>
      <c r="K66" s="81">
        <f>COUNTIFS($E$5:$E$30,$E65,K$5:K$30,"Censored")</f>
        <v>0</v>
      </c>
      <c r="L66" s="81">
        <f>COUNTIFS($E$5:$E$30,$E65,L$5:L$30,"Censored")</f>
        <v>0</v>
      </c>
      <c r="M66" s="81">
        <f>COUNTIFS($E$5:$E$30,$E65,M$5:M$30,"Censored")</f>
        <v>0</v>
      </c>
      <c r="N66" s="81">
        <f>COUNTIFS($E$5:$E$30,$E65,N$5:N$30,"Censored")</f>
        <v>0</v>
      </c>
      <c r="O66" s="81">
        <f>COUNTIFS($E$5:$E$30,$E65,O$5:O$30,"Censored")</f>
        <v>0</v>
      </c>
      <c r="P66" s="81">
        <f>COUNTIFS($E$5:$E$30,$E65,P$5:P$30,"Censored")</f>
        <v>0</v>
      </c>
      <c r="Q66" s="81">
        <f>COUNTIFS($E$5:$E$30,$E65,Q$5:Q$30,"Censored")</f>
        <v>0</v>
      </c>
      <c r="R66" s="81">
        <f>COUNTIFS($E$5:$E$30,$E65,R$5:R$30,"Censored")</f>
        <v>0</v>
      </c>
      <c r="S66" s="81">
        <f>COUNTIFS($E$5:$E$30,$E65,S$5:S$30,"Censored")</f>
        <v>0</v>
      </c>
      <c r="T66" s="81">
        <f>COUNTIFS($E$5:$E$30,$E65,T$5:T$30,"Censored")</f>
        <v>0</v>
      </c>
      <c r="U66" s="81">
        <f>COUNTIFS($E$5:$E$30,$E65,U$5:U$30,"Censored")</f>
        <v>0</v>
      </c>
      <c r="V66" s="81">
        <f>COUNTIFS($E$5:$E$30,$E65,V$5:V$30,"Censored")</f>
        <v>0</v>
      </c>
      <c r="W66" s="81">
        <f>COUNTIFS($E$5:$E$30,$E65,W$5:W$30,"Censored")</f>
        <v>0</v>
      </c>
      <c r="X66" s="81">
        <f>COUNTIFS($E$5:$E$30,$E65,X$5:X$30,"Censored")</f>
        <v>0</v>
      </c>
      <c r="Y66" s="81">
        <f>COUNTIFS($E$5:$E$30,$E65,Y$5:Y$30,"Censored")</f>
        <v>0</v>
      </c>
      <c r="Z66" s="81">
        <f>COUNTIFS($E$5:$E$30,$E65,Z$5:Z$30,"Censored")</f>
        <v>0</v>
      </c>
      <c r="AA66" s="81">
        <f>COUNTIFS($E$5:$E$30,$E65,AA$5:AA$30,"Censored")</f>
        <v>0</v>
      </c>
      <c r="AB66" s="81">
        <f>COUNTIFS($E$5:$E$30,$E65,AB$5:AB$30,"Censored")</f>
        <v>0</v>
      </c>
      <c r="AC66" s="81">
        <f>COUNTIFS($E$5:$E$30,$E65,AC$5:AC$30,"Censored")</f>
        <v>0</v>
      </c>
      <c r="AD66" s="81">
        <f>COUNTIFS($E$5:$E$30,$E65,AD$5:AD$30,"Censored")</f>
        <v>0</v>
      </c>
      <c r="AE66" s="81">
        <f>COUNTIFS($E$5:$E$30,$E65,AE$5:AE$30,"Censored")</f>
        <v>0</v>
      </c>
      <c r="AF66" s="81">
        <f>COUNTIFS($E$5:$E$30,$E65,AF$5:AF$30,"Censored")</f>
        <v>0</v>
      </c>
      <c r="AG66" s="81">
        <f>COUNTIFS($E$5:$E$30,$E65,AG$5:AG$30,"Censored")</f>
        <v>0</v>
      </c>
      <c r="AH66" s="81">
        <f>COUNTIFS($E$5:$E$30,$E65,AH$5:AH$30,"Censored")</f>
        <v>0</v>
      </c>
      <c r="AI66" s="81">
        <f>COUNTIFS($E$5:$E$30,$E65,AI$5:AI$30,"Censored")</f>
        <v>0</v>
      </c>
      <c r="AJ66" s="81">
        <f>COUNTIFS($E$5:$E$30,$E65,AJ$5:AJ$30,"Censored")</f>
        <v>0</v>
      </c>
      <c r="AK66" s="81">
        <f>COUNTIFS($E$5:$E$30,$E65,AK$5:AK$30,"Censored")</f>
        <v>0</v>
      </c>
      <c r="AL66" s="81">
        <f>COUNTIFS($E$5:$E$30,$E65,AL$5:AL$30,"Censored")</f>
        <v>0</v>
      </c>
      <c r="AM66" s="81">
        <f>COUNTIFS($E$5:$E$30,$E65,AM$5:AM$30,"Censored")</f>
        <v>0</v>
      </c>
      <c r="AN66" s="81">
        <f>COUNTIFS($E$5:$E$30,$E65,AN$5:AN$30,"Censored")</f>
        <v>0</v>
      </c>
      <c r="AO66" s="81">
        <f>COUNTIFS($E$5:$E$30,$E65,AO$5:AO$30,"Censored")</f>
        <v>0</v>
      </c>
      <c r="AP66" s="81">
        <f>COUNTIFS($E$5:$E$30,$E65,AP$5:AP$30,"Censored")</f>
        <v>0</v>
      </c>
      <c r="AQ66" s="81">
        <f>COUNTIFS($E$5:$E$30,$E65,AQ$5:AQ$30,"Censored")</f>
        <v>0</v>
      </c>
      <c r="AR66" s="81">
        <f>COUNTIFS($E$5:$E$30,$E65,AR$5:AR$30,"Censored")</f>
        <v>0</v>
      </c>
      <c r="AS66" s="81">
        <f>COUNTIFS($E$5:$E$30,$E65,AS$5:AS$30,"Censored")</f>
        <v>0</v>
      </c>
      <c r="AT66" s="81">
        <f>COUNTIFS($E$5:$E$30,$E65,AT$5:AT$30,"Censored")</f>
        <v>0</v>
      </c>
      <c r="AU66" s="81">
        <f>COUNTIFS($E$5:$E$30,$E65,AU$5:AU$30,"Censored")</f>
        <v>0</v>
      </c>
      <c r="AV66" s="81">
        <f>COUNTIFS($E$5:$E$30,$E65,AV$5:AV$30,"Censored")</f>
        <v>0</v>
      </c>
      <c r="AW66" s="81">
        <f>COUNTIFS($E$5:$E$30,$E65,AW$5:AW$30,"Censored")</f>
        <v>0</v>
      </c>
      <c r="AX66" s="81">
        <f>COUNTIFS($E$5:$E$30,$E65,AX$5:AX$30,"Censored")</f>
        <v>0</v>
      </c>
      <c r="AY66" s="81">
        <f>COUNTIFS($E$5:$E$30,$E65,AY$5:AY$30,"Censored")</f>
        <v>0</v>
      </c>
      <c r="AZ66" s="81">
        <f>COUNTIFS($E$5:$E$30,$E65,AZ$5:AZ$30,"Censored")</f>
        <v>0</v>
      </c>
      <c r="BA66" s="81">
        <f>COUNTIFS($E$5:$E$30,$E65,BA$5:BA$30,"Censored")</f>
        <v>0</v>
      </c>
      <c r="BB66" s="76"/>
    </row>
    <row r="67" spans="1:54" ht="14.25" customHeight="1">
      <c r="A67" s="46"/>
      <c r="B67" s="45"/>
      <c r="C67" s="47"/>
      <c r="D67" s="45"/>
      <c r="E67" s="92"/>
      <c r="F67" s="71"/>
      <c r="G67" s="82"/>
      <c r="H67" s="93"/>
      <c r="I67" s="144" t="s">
        <v>53</v>
      </c>
      <c r="J67" s="74" t="e">
        <f>J65/(COUNTIFS($E$5:$E$30,$E65,J$5:J$30,"Alive")+COUNTIFS($E$5:$E$30,$E65,J$5:J$30,"Sacrificed")+COUNTIFS($E$5:$E$30,$E65,J$5:J$30,"Died"))</f>
        <v>#DIV/0!</v>
      </c>
      <c r="K67" s="74" t="e">
        <f>K65/(COUNTIFS($E$5:$E$30,$E65,K$5:K$30,"Alive")+COUNTIFS($E$5:$E$30,$E65,K$5:K$30,"Sacrificed")+COUNTIFS($E$5:$E$30,$E65,K$5:K$30,"Died"))*J67</f>
        <v>#DIV/0!</v>
      </c>
      <c r="L67" s="74" t="e">
        <f>L65/(COUNTIFS($E$5:$E$30,$E65,L$5:L$30,"Alive")+COUNTIFS($E$5:$E$30,$E65,L$5:L$30,"Sacrificed")+COUNTIFS($E$5:$E$30,$E65,L$5:L$30,"Died"))*K67</f>
        <v>#DIV/0!</v>
      </c>
      <c r="M67" s="74" t="e">
        <f>M65/(COUNTIFS($E$5:$E$30,$E65,M$5:M$30,"Alive")+COUNTIFS($E$5:$E$30,$E65,M$5:M$30,"Sacrificed")+COUNTIFS($E$5:$E$30,$E65,M$5:M$30,"Died"))*L67</f>
        <v>#DIV/0!</v>
      </c>
      <c r="N67" s="74" t="e">
        <f>N65/(COUNTIFS($E$5:$E$30,$E65,N$5:N$30,"Alive")+COUNTIFS($E$5:$E$30,$E65,N$5:N$30,"Sacrificed")+COUNTIFS($E$5:$E$30,$E65,N$5:N$30,"Died"))*M67</f>
        <v>#DIV/0!</v>
      </c>
      <c r="O67" s="74" t="e">
        <f>O65/(COUNTIFS($E$5:$E$30,$E65,O$5:O$30,"Alive")+COUNTIFS($E$5:$E$30,$E65,O$5:O$30,"Sacrificed")+COUNTIFS($E$5:$E$30,$E65,O$5:O$30,"Died"))*N67</f>
        <v>#DIV/0!</v>
      </c>
      <c r="P67" s="74" t="e">
        <f>P65/(COUNTIFS($E$5:$E$30,$E65,P$5:P$30,"Alive")+COUNTIFS($E$5:$E$30,$E65,P$5:P$30,"Sacrificed")+COUNTIFS($E$5:$E$30,$E65,P$5:P$30,"Died"))*O67</f>
        <v>#DIV/0!</v>
      </c>
      <c r="Q67" s="74" t="e">
        <f>Q65/(COUNTIFS($E$5:$E$30,$E65,Q$5:Q$30,"Alive")+COUNTIFS($E$5:$E$30,$E65,Q$5:Q$30,"Sacrificed")+COUNTIFS($E$5:$E$30,$E65,Q$5:Q$30,"Died"))*P67</f>
        <v>#DIV/0!</v>
      </c>
      <c r="R67" s="74" t="e">
        <f>R65/(COUNTIFS($E$5:$E$30,$E65,R$5:R$30,"Alive")+COUNTIFS($E$5:$E$30,$E65,R$5:R$30,"Sacrificed")+COUNTIFS($E$5:$E$30,$E65,R$5:R$30,"Died"))*Q67</f>
        <v>#DIV/0!</v>
      </c>
      <c r="S67" s="74" t="e">
        <f>S65/(COUNTIFS($E$5:$E$30,$E65,S$5:S$30,"Alive")+COUNTIFS($E$5:$E$30,$E65,S$5:S$30,"Sacrificed")+COUNTIFS($E$5:$E$30,$E65,S$5:S$30,"Died"))*R67</f>
        <v>#DIV/0!</v>
      </c>
      <c r="T67" s="74" t="e">
        <f>T65/(COUNTIFS($E$5:$E$30,$E65,T$5:T$30,"Alive")+COUNTIFS($E$5:$E$30,$E65,T$5:T$30,"Sacrificed")+COUNTIFS($E$5:$E$30,$E65,T$5:T$30,"Died"))*S67</f>
        <v>#DIV/0!</v>
      </c>
      <c r="U67" s="74" t="e">
        <f>U65/(COUNTIFS($E$5:$E$30,$E65,U$5:U$30,"Alive")+COUNTIFS($E$5:$E$30,$E65,U$5:U$30,"Sacrificed")+COUNTIFS($E$5:$E$30,$E65,U$5:U$30,"Died"))*T67</f>
        <v>#DIV/0!</v>
      </c>
      <c r="V67" s="74" t="e">
        <f>V65/(COUNTIFS($E$5:$E$30,$E65,V$5:V$30,"Alive")+COUNTIFS($E$5:$E$30,$E65,V$5:V$30,"Sacrificed")+COUNTIFS($E$5:$E$30,$E65,V$5:V$30,"Died"))*U67</f>
        <v>#DIV/0!</v>
      </c>
      <c r="W67" s="74" t="e">
        <f>W65/(COUNTIFS($E$5:$E$30,$E65,W$5:W$30,"Alive")+COUNTIFS($E$5:$E$30,$E65,W$5:W$30,"Sacrificed")+COUNTIFS($E$5:$E$30,$E65,W$5:W$30,"Died"))*V67</f>
        <v>#DIV/0!</v>
      </c>
      <c r="X67" s="74" t="e">
        <f>X65/(COUNTIFS($E$5:$E$30,$E65,X$5:X$30,"Alive")+COUNTIFS($E$5:$E$30,$E65,X$5:X$30,"Sacrificed")+COUNTIFS($E$5:$E$30,$E65,X$5:X$30,"Died"))*W67</f>
        <v>#DIV/0!</v>
      </c>
      <c r="Y67" s="74" t="e">
        <f>Y65/(COUNTIFS($E$5:$E$30,$E65,Y$5:Y$30,"Alive")+COUNTIFS($E$5:$E$30,$E65,Y$5:Y$30,"Sacrificed")+COUNTIFS($E$5:$E$30,$E65,Y$5:Y$30,"Died"))*X67</f>
        <v>#DIV/0!</v>
      </c>
      <c r="Z67" s="74" t="e">
        <f>Z65/(COUNTIFS($E$5:$E$30,$E65,Z$5:Z$30,"Alive")+COUNTIFS($E$5:$E$30,$E65,Z$5:Z$30,"Sacrificed")+COUNTIFS($E$5:$E$30,$E65,Z$5:Z$30,"Died"))*Y67</f>
        <v>#DIV/0!</v>
      </c>
      <c r="AA67" s="74" t="e">
        <f>AA65/(COUNTIFS($E$5:$E$30,$E65,AA$5:AA$30,"Alive")+COUNTIFS($E$5:$E$30,$E65,AA$5:AA$30,"Sacrificed")+COUNTIFS($E$5:$E$30,$E65,AA$5:AA$30,"Died"))*Z67</f>
        <v>#DIV/0!</v>
      </c>
      <c r="AB67" s="74" t="e">
        <f>AB65/(COUNTIFS($E$5:$E$30,$E65,AB$5:AB$30,"Alive")+COUNTIFS($E$5:$E$30,$E65,AB$5:AB$30,"Sacrificed")+COUNTIFS($E$5:$E$30,$E65,AB$5:AB$30,"Died"))*AA67</f>
        <v>#DIV/0!</v>
      </c>
      <c r="AC67" s="74" t="e">
        <f>AC65/(COUNTIFS($E$5:$E$30,$E65,AC$5:AC$30,"Alive")+COUNTIFS($E$5:$E$30,$E65,AC$5:AC$30,"Sacrificed")+COUNTIFS($E$5:$E$30,$E65,AC$5:AC$30,"Died"))*AB67</f>
        <v>#DIV/0!</v>
      </c>
      <c r="AD67" s="74" t="e">
        <f>AD65/(COUNTIFS($E$5:$E$30,$E65,AD$5:AD$30,"Alive")+COUNTIFS($E$5:$E$30,$E65,AD$5:AD$30,"Sacrificed")+COUNTIFS($E$5:$E$30,$E65,AD$5:AD$30,"Died"))*AC67</f>
        <v>#DIV/0!</v>
      </c>
      <c r="AE67" s="74" t="e">
        <f>AE65/(COUNTIFS($E$5:$E$30,$E65,AE$5:AE$30,"Alive")+COUNTIFS($E$5:$E$30,$E65,AE$5:AE$30,"Sacrificed")+COUNTIFS($E$5:$E$30,$E65,AE$5:AE$30,"Died"))*AD67</f>
        <v>#DIV/0!</v>
      </c>
      <c r="AF67" s="74" t="e">
        <f>AF65/(COUNTIFS($E$5:$E$30,$E65,AF$5:AF$30,"Alive")+COUNTIFS($E$5:$E$30,$E65,AF$5:AF$30,"Sacrificed")+COUNTIFS($E$5:$E$30,$E65,AF$5:AF$30,"Died"))*AE67</f>
        <v>#DIV/0!</v>
      </c>
      <c r="AG67" s="74" t="e">
        <f>AG65/(COUNTIFS($E$5:$E$30,$E65,AG$5:AG$30,"Alive")+COUNTIFS($E$5:$E$30,$E65,AG$5:AG$30,"Sacrificed")+COUNTIFS($E$5:$E$30,$E65,AG$5:AG$30,"Died"))*AF67</f>
        <v>#DIV/0!</v>
      </c>
      <c r="AH67" s="74" t="e">
        <f>AH65/(COUNTIFS($E$5:$E$30,$E65,AH$5:AH$30,"Alive")+COUNTIFS($E$5:$E$30,$E65,AH$5:AH$30,"Sacrificed")+COUNTIFS($E$5:$E$30,$E65,AH$5:AH$30,"Died"))*AG67</f>
        <v>#DIV/0!</v>
      </c>
      <c r="AI67" s="74" t="e">
        <f>AI65/(COUNTIFS($E$5:$E$30,$E65,AI$5:AI$30,"Alive")+COUNTIFS($E$5:$E$30,$E65,AI$5:AI$30,"Sacrificed")+COUNTIFS($E$5:$E$30,$E65,AI$5:AI$30,"Died"))*AH67</f>
        <v>#DIV/0!</v>
      </c>
      <c r="AJ67" s="74" t="e">
        <f>AJ65/(COUNTIFS($E$5:$E$30,$E65,AJ$5:AJ$30,"Alive")+COUNTIFS($E$5:$E$30,$E65,AJ$5:AJ$30,"Sacrificed")+COUNTIFS($E$5:$E$30,$E65,AJ$5:AJ$30,"Died"))*AI67</f>
        <v>#DIV/0!</v>
      </c>
      <c r="AK67" s="74" t="e">
        <f>AK65/(COUNTIFS($E$5:$E$30,$E65,AK$5:AK$30,"Alive")+COUNTIFS($E$5:$E$30,$E65,AK$5:AK$30,"Sacrificed")+COUNTIFS($E$5:$E$30,$E65,AK$5:AK$30,"Died"))*AJ67</f>
        <v>#DIV/0!</v>
      </c>
      <c r="AL67" s="74" t="e">
        <f>AL65/(COUNTIFS($E$5:$E$30,$E65,AL$5:AL$30,"Alive")+COUNTIFS($E$5:$E$30,$E65,AL$5:AL$30,"Sacrificed")+COUNTIFS($E$5:$E$30,$E65,AL$5:AL$30,"Died"))*AK67</f>
        <v>#DIV/0!</v>
      </c>
      <c r="AM67" s="74" t="e">
        <f>AM65/(COUNTIFS($E$5:$E$30,$E65,AM$5:AM$30,"Alive")+COUNTIFS($E$5:$E$30,$E65,AM$5:AM$30,"Sacrificed")+COUNTIFS($E$5:$E$30,$E65,AM$5:AM$30,"Died"))*AL67</f>
        <v>#DIV/0!</v>
      </c>
      <c r="AN67" s="74" t="e">
        <f>AN65/(COUNTIFS($E$5:$E$30,$E65,AN$5:AN$30,"Alive")+COUNTIFS($E$5:$E$30,$E65,AN$5:AN$30,"Sacrificed")+COUNTIFS($E$5:$E$30,$E65,AN$5:AN$30,"Died"))*AM67</f>
        <v>#DIV/0!</v>
      </c>
      <c r="AO67" s="74" t="e">
        <f>AO65/(COUNTIFS($E$5:$E$30,$E65,AO$5:AO$30,"Alive")+COUNTIFS($E$5:$E$30,$E65,AO$5:AO$30,"Sacrificed")+COUNTIFS($E$5:$E$30,$E65,AO$5:AO$30,"Died"))*AN67</f>
        <v>#DIV/0!</v>
      </c>
      <c r="AP67" s="74" t="e">
        <f>AP65/(COUNTIFS($E$5:$E$30,$E65,AP$5:AP$30,"Alive")+COUNTIFS($E$5:$E$30,$E65,AP$5:AP$30,"Sacrificed")+COUNTIFS($E$5:$E$30,$E65,AP$5:AP$30,"Died"))*AO67</f>
        <v>#DIV/0!</v>
      </c>
      <c r="AQ67" s="74" t="e">
        <f>AQ65/(COUNTIFS($E$5:$E$30,$E65,AQ$5:AQ$30,"Alive")+COUNTIFS($E$5:$E$30,$E65,AQ$5:AQ$30,"Sacrificed")+COUNTIFS($E$5:$E$30,$E65,AQ$5:AQ$30,"Died"))*AP67</f>
        <v>#DIV/0!</v>
      </c>
      <c r="AR67" s="74" t="e">
        <f>AR65/(COUNTIFS($E$5:$E$30,$E65,AR$5:AR$30,"Alive")+COUNTIFS($E$5:$E$30,$E65,AR$5:AR$30,"Sacrificed")+COUNTIFS($E$5:$E$30,$E65,AR$5:AR$30,"Died"))*AQ67</f>
        <v>#DIV/0!</v>
      </c>
      <c r="AS67" s="74" t="e">
        <f>AS65/(COUNTIFS($E$5:$E$30,$E65,AS$5:AS$30,"Alive")+COUNTIFS($E$5:$E$30,$E65,AS$5:AS$30,"Sacrificed")+COUNTIFS($E$5:$E$30,$E65,AS$5:AS$30,"Died"))*AR67</f>
        <v>#DIV/0!</v>
      </c>
      <c r="AT67" s="74" t="e">
        <f>AT65/(COUNTIFS($E$5:$E$30,$E65,AT$5:AT$30,"Alive")+COUNTIFS($E$5:$E$30,$E65,AT$5:AT$30,"Sacrificed")+COUNTIFS($E$5:$E$30,$E65,AT$5:AT$30,"Died"))*AS67</f>
        <v>#DIV/0!</v>
      </c>
      <c r="AU67" s="74" t="e">
        <f>AU65/(COUNTIFS($E$5:$E$30,$E65,AU$5:AU$30,"Alive")+COUNTIFS($E$5:$E$30,$E65,AU$5:AU$30,"Sacrificed")+COUNTIFS($E$5:$E$30,$E65,AU$5:AU$30,"Died"))*AT67</f>
        <v>#DIV/0!</v>
      </c>
      <c r="AV67" s="74" t="e">
        <f>AV65/(COUNTIFS($E$5:$E$30,$E65,AV$5:AV$30,"Alive")+COUNTIFS($E$5:$E$30,$E65,AV$5:AV$30,"Sacrificed")+COUNTIFS($E$5:$E$30,$E65,AV$5:AV$30,"Died"))*AU67</f>
        <v>#DIV/0!</v>
      </c>
      <c r="AW67" s="74" t="e">
        <f>AW65/(COUNTIFS($E$5:$E$30,$E65,AW$5:AW$30,"Alive")+COUNTIFS($E$5:$E$30,$E65,AW$5:AW$30,"Sacrificed")+COUNTIFS($E$5:$E$30,$E65,AW$5:AW$30,"Died"))*AV67</f>
        <v>#DIV/0!</v>
      </c>
      <c r="AX67" s="74" t="e">
        <f>AX65/(COUNTIFS($E$5:$E$30,$E65,AX$5:AX$30,"Alive")+COUNTIFS($E$5:$E$30,$E65,AX$5:AX$30,"Sacrificed")+COUNTIFS($E$5:$E$30,$E65,AX$5:AX$30,"Died"))*AW67</f>
        <v>#DIV/0!</v>
      </c>
      <c r="AY67" s="74" t="e">
        <f>AY65/(COUNTIFS($E$5:$E$30,$E65,AY$5:AY$30,"Alive")+COUNTIFS($E$5:$E$30,$E65,AY$5:AY$30,"Sacrificed")+COUNTIFS($E$5:$E$30,$E65,AY$5:AY$30,"Died"))*AX67</f>
        <v>#DIV/0!</v>
      </c>
      <c r="AZ67" s="74" t="e">
        <f>AZ65/(COUNTIFS($E$5:$E$30,$E65,AZ$5:AZ$30,"Alive")+COUNTIFS($E$5:$E$30,$E65,AZ$5:AZ$30,"Sacrificed")+COUNTIFS($E$5:$E$30,$E65,AZ$5:AZ$30,"Died"))*AY67</f>
        <v>#DIV/0!</v>
      </c>
      <c r="BA67" s="74" t="e">
        <f>BA65/(COUNTIFS($E$5:$E$30,$E65,BA$5:BA$30,"Alive")+COUNTIFS($E$5:$E$30,$E65,BA$5:BA$30,"Sacrificed")+COUNTIFS($E$5:$E$30,$E65,BA$5:BA$30,"Died"))*AZ67</f>
        <v>#DIV/0!</v>
      </c>
      <c r="BB67" s="3"/>
    </row>
    <row r="69" spans="1:54" ht="14.25" customHeight="1">
      <c r="A69" s="113"/>
      <c r="E69" s="118" t="str">
        <f>'FIG6 Groups'!C14</f>
        <v>Group 9</v>
      </c>
      <c r="H69" s="118" t="str">
        <f>E69</f>
        <v>Group 9</v>
      </c>
      <c r="I69" s="144" t="s">
        <v>52</v>
      </c>
      <c r="J69" s="78">
        <f>COUNTIFS($E$5:$E$30,$E69,J$5:J$30,"Alive")</f>
        <v>0</v>
      </c>
      <c r="K69" s="78">
        <f>COUNTIFS($E$5:$E$30,$E69,K$5:K$30,"Alive")</f>
        <v>0</v>
      </c>
      <c r="L69" s="78">
        <f>COUNTIFS($E$5:$E$30,$E69,L$5:L$30,"Alive")</f>
        <v>0</v>
      </c>
      <c r="M69" s="78">
        <f>COUNTIFS($E$5:$E$30,$E69,M$5:M$30,"Alive")</f>
        <v>0</v>
      </c>
      <c r="N69" s="78">
        <f>COUNTIFS($E$5:$E$30,$E69,N$5:N$30,"Alive")</f>
        <v>0</v>
      </c>
      <c r="O69" s="78">
        <f>COUNTIFS($E$5:$E$30,$E69,O$5:O$30,"Alive")</f>
        <v>0</v>
      </c>
      <c r="P69" s="78">
        <f>COUNTIFS($E$5:$E$30,$E69,P$5:P$30,"Alive")</f>
        <v>0</v>
      </c>
      <c r="Q69" s="78">
        <f>COUNTIFS($E$5:$E$30,$E69,Q$5:Q$30,"Alive")</f>
        <v>0</v>
      </c>
      <c r="R69" s="78">
        <f>COUNTIFS($E$5:$E$30,$E69,R$5:R$30,"Alive")</f>
        <v>0</v>
      </c>
      <c r="S69" s="78">
        <f>COUNTIFS($E$5:$E$30,$E69,S$5:S$30,"Alive")</f>
        <v>0</v>
      </c>
      <c r="T69" s="78">
        <f>COUNTIFS($E$5:$E$30,$E69,T$5:T$30,"Alive")</f>
        <v>0</v>
      </c>
      <c r="U69" s="78">
        <f>COUNTIFS($E$5:$E$30,$E69,U$5:U$30,"Alive")</f>
        <v>0</v>
      </c>
      <c r="V69" s="78">
        <f>COUNTIFS($E$5:$E$30,$E69,V$5:V$30,"Alive")</f>
        <v>0</v>
      </c>
      <c r="W69" s="78">
        <f>COUNTIFS($E$5:$E$30,$E69,W$5:W$30,"Alive")</f>
        <v>0</v>
      </c>
      <c r="X69" s="78">
        <f>COUNTIFS($E$5:$E$30,$E69,X$5:X$30,"Alive")</f>
        <v>0</v>
      </c>
      <c r="Y69" s="78">
        <f>COUNTIFS($E$5:$E$30,$E69,Y$5:Y$30,"Alive")</f>
        <v>0</v>
      </c>
      <c r="Z69" s="78">
        <f>COUNTIFS($E$5:$E$30,$E69,Z$5:Z$30,"Alive")</f>
        <v>0</v>
      </c>
      <c r="AA69" s="78">
        <f>COUNTIFS($E$5:$E$30,$E69,AA$5:AA$30,"Alive")</f>
        <v>0</v>
      </c>
      <c r="AB69" s="78">
        <f>COUNTIFS($E$5:$E$30,$E69,AB$5:AB$30,"Alive")</f>
        <v>0</v>
      </c>
      <c r="AC69" s="78">
        <f>COUNTIFS($E$5:$E$30,$E69,AC$5:AC$30,"Alive")</f>
        <v>0</v>
      </c>
      <c r="AD69" s="78">
        <f>COUNTIFS($E$5:$E$30,$E69,AD$5:AD$30,"Alive")</f>
        <v>0</v>
      </c>
      <c r="AE69" s="78">
        <f>COUNTIFS($E$5:$E$30,$E69,AE$5:AE$30,"Alive")</f>
        <v>0</v>
      </c>
      <c r="AF69" s="78">
        <f>COUNTIFS($E$5:$E$30,$E69,AF$5:AF$30,"Alive")</f>
        <v>0</v>
      </c>
      <c r="AG69" s="78">
        <f>COUNTIFS($E$5:$E$30,$E69,AG$5:AG$30,"Alive")</f>
        <v>0</v>
      </c>
      <c r="AH69" s="78">
        <f>COUNTIFS($E$5:$E$30,$E69,AH$5:AH$30,"Alive")</f>
        <v>0</v>
      </c>
      <c r="AI69" s="78">
        <f>COUNTIFS($E$5:$E$30,$E69,AI$5:AI$30,"Alive")</f>
        <v>0</v>
      </c>
      <c r="AJ69" s="78">
        <f>COUNTIFS($E$5:$E$30,$E69,AJ$5:AJ$30,"Alive")</f>
        <v>0</v>
      </c>
      <c r="AK69" s="78">
        <f>COUNTIFS($E$5:$E$30,$E69,AK$5:AK$30,"Alive")</f>
        <v>0</v>
      </c>
      <c r="AL69" s="78">
        <f>COUNTIFS($E$5:$E$30,$E69,AL$5:AL$30,"Alive")</f>
        <v>0</v>
      </c>
      <c r="AM69" s="78">
        <f>COUNTIFS($E$5:$E$30,$E69,AM$5:AM$30,"Alive")</f>
        <v>0</v>
      </c>
      <c r="AN69" s="78">
        <f>COUNTIFS($E$5:$E$30,$E69,AN$5:AN$30,"Alive")</f>
        <v>0</v>
      </c>
      <c r="AO69" s="78">
        <f>COUNTIFS($E$5:$E$30,$E69,AO$5:AO$30,"Alive")</f>
        <v>0</v>
      </c>
      <c r="AP69" s="78">
        <f>COUNTIFS($E$5:$E$30,$E69,AP$5:AP$30,"Alive")</f>
        <v>0</v>
      </c>
      <c r="AQ69" s="78">
        <f>COUNTIFS($E$5:$E$30,$E69,AQ$5:AQ$30,"Alive")</f>
        <v>0</v>
      </c>
      <c r="AR69" s="78">
        <f>COUNTIFS($E$5:$E$30,$E69,AR$5:AR$30,"Alive")</f>
        <v>0</v>
      </c>
      <c r="AS69" s="78">
        <f>COUNTIFS($E$5:$E$30,$E69,AS$5:AS$30,"Alive")</f>
        <v>0</v>
      </c>
      <c r="AT69" s="78">
        <f>COUNTIFS($E$5:$E$30,$E69,AT$5:AT$30,"Alive")</f>
        <v>0</v>
      </c>
      <c r="AU69" s="78">
        <f>COUNTIFS($E$5:$E$30,$E69,AU$5:AU$30,"Alive")</f>
        <v>0</v>
      </c>
      <c r="AV69" s="78">
        <f>COUNTIFS($E$5:$E$30,$E69,AV$5:AV$30,"Alive")</f>
        <v>0</v>
      </c>
      <c r="AW69" s="78">
        <f>COUNTIFS($E$5:$E$30,$E69,AW$5:AW$30,"Alive")</f>
        <v>0</v>
      </c>
      <c r="AX69" s="78">
        <f>COUNTIFS($E$5:$E$30,$E69,AX$5:AX$30,"Alive")</f>
        <v>0</v>
      </c>
      <c r="AY69" s="78">
        <f>COUNTIFS($E$5:$E$30,$E69,AY$5:AY$30,"Alive")</f>
        <v>0</v>
      </c>
      <c r="AZ69" s="78">
        <f>COUNTIFS($E$5:$E$30,$E69,AZ$5:AZ$30,"Alive")</f>
        <v>0</v>
      </c>
      <c r="BA69" s="78">
        <f>COUNTIFS($E$5:$E$30,$E69,BA$5:BA$30,"Alive")</f>
        <v>0</v>
      </c>
      <c r="BB69" s="76"/>
    </row>
    <row r="70" spans="1:54" ht="14.25" customHeight="1">
      <c r="A70" s="113"/>
      <c r="E70" s="93"/>
      <c r="H70" s="93"/>
      <c r="I70" s="144" t="s">
        <v>51</v>
      </c>
      <c r="J70" s="81">
        <f>COUNTIFS($E$5:$E$30,$E69,J$5:J$30,"Censored")</f>
        <v>0</v>
      </c>
      <c r="K70" s="81">
        <f>COUNTIFS($E$5:$E$30,$E69,K$5:K$30,"Censored")</f>
        <v>0</v>
      </c>
      <c r="L70" s="81">
        <f>COUNTIFS($E$5:$E$30,$E69,L$5:L$30,"Censored")</f>
        <v>0</v>
      </c>
      <c r="M70" s="81">
        <f>COUNTIFS($E$5:$E$30,$E69,M$5:M$30,"Censored")</f>
        <v>0</v>
      </c>
      <c r="N70" s="81">
        <f>COUNTIFS($E$5:$E$30,$E69,N$5:N$30,"Censored")</f>
        <v>0</v>
      </c>
      <c r="O70" s="81">
        <f>COUNTIFS($E$5:$E$30,$E69,O$5:O$30,"Censored")</f>
        <v>0</v>
      </c>
      <c r="P70" s="81">
        <f>COUNTIFS($E$5:$E$30,$E69,P$5:P$30,"Censored")</f>
        <v>0</v>
      </c>
      <c r="Q70" s="81">
        <f>COUNTIFS($E$5:$E$30,$E69,Q$5:Q$30,"Censored")</f>
        <v>0</v>
      </c>
      <c r="R70" s="81">
        <f>COUNTIFS($E$5:$E$30,$E69,R$5:R$30,"Censored")</f>
        <v>0</v>
      </c>
      <c r="S70" s="81">
        <f>COUNTIFS($E$5:$E$30,$E69,S$5:S$30,"Censored")</f>
        <v>0</v>
      </c>
      <c r="T70" s="81">
        <f>COUNTIFS($E$5:$E$30,$E69,T$5:T$30,"Censored")</f>
        <v>0</v>
      </c>
      <c r="U70" s="81">
        <f>COUNTIFS($E$5:$E$30,$E69,U$5:U$30,"Censored")</f>
        <v>0</v>
      </c>
      <c r="V70" s="81">
        <f>COUNTIFS($E$5:$E$30,$E69,V$5:V$30,"Censored")</f>
        <v>0</v>
      </c>
      <c r="W70" s="81">
        <f>COUNTIFS($E$5:$E$30,$E69,W$5:W$30,"Censored")</f>
        <v>0</v>
      </c>
      <c r="X70" s="81">
        <f>COUNTIFS($E$5:$E$30,$E69,X$5:X$30,"Censored")</f>
        <v>0</v>
      </c>
      <c r="Y70" s="81">
        <f>COUNTIFS($E$5:$E$30,$E69,Y$5:Y$30,"Censored")</f>
        <v>0</v>
      </c>
      <c r="Z70" s="81">
        <f>COUNTIFS($E$5:$E$30,$E69,Z$5:Z$30,"Censored")</f>
        <v>0</v>
      </c>
      <c r="AA70" s="81">
        <f>COUNTIFS($E$5:$E$30,$E69,AA$5:AA$30,"Censored")</f>
        <v>0</v>
      </c>
      <c r="AB70" s="81">
        <f>COUNTIFS($E$5:$E$30,$E69,AB$5:AB$30,"Censored")</f>
        <v>0</v>
      </c>
      <c r="AC70" s="81">
        <f>COUNTIFS($E$5:$E$30,$E69,AC$5:AC$30,"Censored")</f>
        <v>0</v>
      </c>
      <c r="AD70" s="81">
        <f>COUNTIFS($E$5:$E$30,$E69,AD$5:AD$30,"Censored")</f>
        <v>0</v>
      </c>
      <c r="AE70" s="81">
        <f>COUNTIFS($E$5:$E$30,$E69,AE$5:AE$30,"Censored")</f>
        <v>0</v>
      </c>
      <c r="AF70" s="81">
        <f>COUNTIFS($E$5:$E$30,$E69,AF$5:AF$30,"Censored")</f>
        <v>0</v>
      </c>
      <c r="AG70" s="81">
        <f>COUNTIFS($E$5:$E$30,$E69,AG$5:AG$30,"Censored")</f>
        <v>0</v>
      </c>
      <c r="AH70" s="81">
        <f>COUNTIFS($E$5:$E$30,$E69,AH$5:AH$30,"Censored")</f>
        <v>0</v>
      </c>
      <c r="AI70" s="81">
        <f>COUNTIFS($E$5:$E$30,$E69,AI$5:AI$30,"Censored")</f>
        <v>0</v>
      </c>
      <c r="AJ70" s="81">
        <f>COUNTIFS($E$5:$E$30,$E69,AJ$5:AJ$30,"Censored")</f>
        <v>0</v>
      </c>
      <c r="AK70" s="81">
        <f>COUNTIFS($E$5:$E$30,$E69,AK$5:AK$30,"Censored")</f>
        <v>0</v>
      </c>
      <c r="AL70" s="81">
        <f>COUNTIFS($E$5:$E$30,$E69,AL$5:AL$30,"Censored")</f>
        <v>0</v>
      </c>
      <c r="AM70" s="81">
        <f>COUNTIFS($E$5:$E$30,$E69,AM$5:AM$30,"Censored")</f>
        <v>0</v>
      </c>
      <c r="AN70" s="81">
        <f>COUNTIFS($E$5:$E$30,$E69,AN$5:AN$30,"Censored")</f>
        <v>0</v>
      </c>
      <c r="AO70" s="81">
        <f>COUNTIFS($E$5:$E$30,$E69,AO$5:AO$30,"Censored")</f>
        <v>0</v>
      </c>
      <c r="AP70" s="81">
        <f>COUNTIFS($E$5:$E$30,$E69,AP$5:AP$30,"Censored")</f>
        <v>0</v>
      </c>
      <c r="AQ70" s="81">
        <f>COUNTIFS($E$5:$E$30,$E69,AQ$5:AQ$30,"Censored")</f>
        <v>0</v>
      </c>
      <c r="AR70" s="81">
        <f>COUNTIFS($E$5:$E$30,$E69,AR$5:AR$30,"Censored")</f>
        <v>0</v>
      </c>
      <c r="AS70" s="81">
        <f>COUNTIFS($E$5:$E$30,$E69,AS$5:AS$30,"Censored")</f>
        <v>0</v>
      </c>
      <c r="AT70" s="81">
        <f>COUNTIFS($E$5:$E$30,$E69,AT$5:AT$30,"Censored")</f>
        <v>0</v>
      </c>
      <c r="AU70" s="81">
        <f>COUNTIFS($E$5:$E$30,$E69,AU$5:AU$30,"Censored")</f>
        <v>0</v>
      </c>
      <c r="AV70" s="81">
        <f>COUNTIFS($E$5:$E$30,$E69,AV$5:AV$30,"Censored")</f>
        <v>0</v>
      </c>
      <c r="AW70" s="81">
        <f>COUNTIFS($E$5:$E$30,$E69,AW$5:AW$30,"Censored")</f>
        <v>0</v>
      </c>
      <c r="AX70" s="81">
        <f>COUNTIFS($E$5:$E$30,$E69,AX$5:AX$30,"Censored")</f>
        <v>0</v>
      </c>
      <c r="AY70" s="81">
        <f>COUNTIFS($E$5:$E$30,$E69,AY$5:AY$30,"Censored")</f>
        <v>0</v>
      </c>
      <c r="AZ70" s="81">
        <f>COUNTIFS($E$5:$E$30,$E69,AZ$5:AZ$30,"Censored")</f>
        <v>0</v>
      </c>
      <c r="BA70" s="81">
        <f>COUNTIFS($E$5:$E$30,$E69,BA$5:BA$30,"Censored")</f>
        <v>0</v>
      </c>
      <c r="BB70" s="76"/>
    </row>
    <row r="71" spans="1:54" ht="14.25" customHeight="1">
      <c r="A71" s="46"/>
      <c r="B71" s="45"/>
      <c r="C71" s="47"/>
      <c r="D71" s="45"/>
      <c r="E71" s="92"/>
      <c r="F71" s="71"/>
      <c r="G71" s="82"/>
      <c r="H71" s="93"/>
      <c r="I71" s="144" t="s">
        <v>53</v>
      </c>
      <c r="J71" s="74" t="e">
        <f>J69/(COUNTIFS($E$5:$E$30,$E69,J$5:J$30,"Alive")+COUNTIFS($E$5:$E$30,$E69,J$5:J$30,"Sacrificed")+COUNTIFS($E$5:$E$30,$E69,J$5:J$30,"Died"))</f>
        <v>#DIV/0!</v>
      </c>
      <c r="K71" s="74" t="e">
        <f>K69/(COUNTIFS($E$5:$E$30,$E69,K$5:K$30,"Alive")+COUNTIFS($E$5:$E$30,$E69,K$5:K$30,"Sacrificed")+COUNTIFS($E$5:$E$30,$E69,K$5:K$30,"Died"))*J71</f>
        <v>#DIV/0!</v>
      </c>
      <c r="L71" s="74" t="e">
        <f>L69/(COUNTIFS($E$5:$E$30,$E69,L$5:L$30,"Alive")+COUNTIFS($E$5:$E$30,$E69,L$5:L$30,"Sacrificed")+COUNTIFS($E$5:$E$30,$E69,L$5:L$30,"Died"))*K71</f>
        <v>#DIV/0!</v>
      </c>
      <c r="M71" s="74" t="e">
        <f>M69/(COUNTIFS($E$5:$E$30,$E69,M$5:M$30,"Alive")+COUNTIFS($E$5:$E$30,$E69,M$5:M$30,"Sacrificed")+COUNTIFS($E$5:$E$30,$E69,M$5:M$30,"Died"))*L71</f>
        <v>#DIV/0!</v>
      </c>
      <c r="N71" s="74" t="e">
        <f>N69/(COUNTIFS($E$5:$E$30,$E69,N$5:N$30,"Alive")+COUNTIFS($E$5:$E$30,$E69,N$5:N$30,"Sacrificed")+COUNTIFS($E$5:$E$30,$E69,N$5:N$30,"Died"))*M71</f>
        <v>#DIV/0!</v>
      </c>
      <c r="O71" s="74" t="e">
        <f>O69/(COUNTIFS($E$5:$E$30,$E69,O$5:O$30,"Alive")+COUNTIFS($E$5:$E$30,$E69,O$5:O$30,"Sacrificed")+COUNTIFS($E$5:$E$30,$E69,O$5:O$30,"Died"))*N71</f>
        <v>#DIV/0!</v>
      </c>
      <c r="P71" s="74" t="e">
        <f>P69/(COUNTIFS($E$5:$E$30,$E69,P$5:P$30,"Alive")+COUNTIFS($E$5:$E$30,$E69,P$5:P$30,"Sacrificed")+COUNTIFS($E$5:$E$30,$E69,P$5:P$30,"Died"))*O71</f>
        <v>#DIV/0!</v>
      </c>
      <c r="Q71" s="74" t="e">
        <f>Q69/(COUNTIFS($E$5:$E$30,$E69,Q$5:Q$30,"Alive")+COUNTIFS($E$5:$E$30,$E69,Q$5:Q$30,"Sacrificed")+COUNTIFS($E$5:$E$30,$E69,Q$5:Q$30,"Died"))*P71</f>
        <v>#DIV/0!</v>
      </c>
      <c r="R71" s="74" t="e">
        <f>R69/(COUNTIFS($E$5:$E$30,$E69,R$5:R$30,"Alive")+COUNTIFS($E$5:$E$30,$E69,R$5:R$30,"Sacrificed")+COUNTIFS($E$5:$E$30,$E69,R$5:R$30,"Died"))*Q71</f>
        <v>#DIV/0!</v>
      </c>
      <c r="S71" s="74" t="e">
        <f>S69/(COUNTIFS($E$5:$E$30,$E69,S$5:S$30,"Alive")+COUNTIFS($E$5:$E$30,$E69,S$5:S$30,"Sacrificed")+COUNTIFS($E$5:$E$30,$E69,S$5:S$30,"Died"))*R71</f>
        <v>#DIV/0!</v>
      </c>
      <c r="T71" s="74" t="e">
        <f>T69/(COUNTIFS($E$5:$E$30,$E69,T$5:T$30,"Alive")+COUNTIFS($E$5:$E$30,$E69,T$5:T$30,"Sacrificed")+COUNTIFS($E$5:$E$30,$E69,T$5:T$30,"Died"))*S71</f>
        <v>#DIV/0!</v>
      </c>
      <c r="U71" s="74" t="e">
        <f>U69/(COUNTIFS($E$5:$E$30,$E69,U$5:U$30,"Alive")+COUNTIFS($E$5:$E$30,$E69,U$5:U$30,"Sacrificed")+COUNTIFS($E$5:$E$30,$E69,U$5:U$30,"Died"))*T71</f>
        <v>#DIV/0!</v>
      </c>
      <c r="V71" s="74" t="e">
        <f>V69/(COUNTIFS($E$5:$E$30,$E69,V$5:V$30,"Alive")+COUNTIFS($E$5:$E$30,$E69,V$5:V$30,"Sacrificed")+COUNTIFS($E$5:$E$30,$E69,V$5:V$30,"Died"))*U71</f>
        <v>#DIV/0!</v>
      </c>
      <c r="W71" s="74" t="e">
        <f>W69/(COUNTIFS($E$5:$E$30,$E69,W$5:W$30,"Alive")+COUNTIFS($E$5:$E$30,$E69,W$5:W$30,"Sacrificed")+COUNTIFS($E$5:$E$30,$E69,W$5:W$30,"Died"))*V71</f>
        <v>#DIV/0!</v>
      </c>
      <c r="X71" s="74" t="e">
        <f>X69/(COUNTIFS($E$5:$E$30,$E69,X$5:X$30,"Alive")+COUNTIFS($E$5:$E$30,$E69,X$5:X$30,"Sacrificed")+COUNTIFS($E$5:$E$30,$E69,X$5:X$30,"Died"))*W71</f>
        <v>#DIV/0!</v>
      </c>
      <c r="Y71" s="74" t="e">
        <f>Y69/(COUNTIFS($E$5:$E$30,$E69,Y$5:Y$30,"Alive")+COUNTIFS($E$5:$E$30,$E69,Y$5:Y$30,"Sacrificed")+COUNTIFS($E$5:$E$30,$E69,Y$5:Y$30,"Died"))*X71</f>
        <v>#DIV/0!</v>
      </c>
      <c r="Z71" s="74" t="e">
        <f>Z69/(COUNTIFS($E$5:$E$30,$E69,Z$5:Z$30,"Alive")+COUNTIFS($E$5:$E$30,$E69,Z$5:Z$30,"Sacrificed")+COUNTIFS($E$5:$E$30,$E69,Z$5:Z$30,"Died"))*Y71</f>
        <v>#DIV/0!</v>
      </c>
      <c r="AA71" s="74" t="e">
        <f>AA69/(COUNTIFS($E$5:$E$30,$E69,AA$5:AA$30,"Alive")+COUNTIFS($E$5:$E$30,$E69,AA$5:AA$30,"Sacrificed")+COUNTIFS($E$5:$E$30,$E69,AA$5:AA$30,"Died"))*Z71</f>
        <v>#DIV/0!</v>
      </c>
      <c r="AB71" s="74" t="e">
        <f>AB69/(COUNTIFS($E$5:$E$30,$E69,AB$5:AB$30,"Alive")+COUNTIFS($E$5:$E$30,$E69,AB$5:AB$30,"Sacrificed")+COUNTIFS($E$5:$E$30,$E69,AB$5:AB$30,"Died"))*AA71</f>
        <v>#DIV/0!</v>
      </c>
      <c r="AC71" s="74" t="e">
        <f>AC69/(COUNTIFS($E$5:$E$30,$E69,AC$5:AC$30,"Alive")+COUNTIFS($E$5:$E$30,$E69,AC$5:AC$30,"Sacrificed")+COUNTIFS($E$5:$E$30,$E69,AC$5:AC$30,"Died"))*AB71</f>
        <v>#DIV/0!</v>
      </c>
      <c r="AD71" s="74" t="e">
        <f>AD69/(COUNTIFS($E$5:$E$30,$E69,AD$5:AD$30,"Alive")+COUNTIFS($E$5:$E$30,$E69,AD$5:AD$30,"Sacrificed")+COUNTIFS($E$5:$E$30,$E69,AD$5:AD$30,"Died"))*AC71</f>
        <v>#DIV/0!</v>
      </c>
      <c r="AE71" s="74" t="e">
        <f>AE69/(COUNTIFS($E$5:$E$30,$E69,AE$5:AE$30,"Alive")+COUNTIFS($E$5:$E$30,$E69,AE$5:AE$30,"Sacrificed")+COUNTIFS($E$5:$E$30,$E69,AE$5:AE$30,"Died"))*AD71</f>
        <v>#DIV/0!</v>
      </c>
      <c r="AF71" s="74" t="e">
        <f>AF69/(COUNTIFS($E$5:$E$30,$E69,AF$5:AF$30,"Alive")+COUNTIFS($E$5:$E$30,$E69,AF$5:AF$30,"Sacrificed")+COUNTIFS($E$5:$E$30,$E69,AF$5:AF$30,"Died"))*AE71</f>
        <v>#DIV/0!</v>
      </c>
      <c r="AG71" s="74" t="e">
        <f>AG69/(COUNTIFS($E$5:$E$30,$E69,AG$5:AG$30,"Alive")+COUNTIFS($E$5:$E$30,$E69,AG$5:AG$30,"Sacrificed")+COUNTIFS($E$5:$E$30,$E69,AG$5:AG$30,"Died"))*AF71</f>
        <v>#DIV/0!</v>
      </c>
      <c r="AH71" s="74" t="e">
        <f>AH69/(COUNTIFS($E$5:$E$30,$E69,AH$5:AH$30,"Alive")+COUNTIFS($E$5:$E$30,$E69,AH$5:AH$30,"Sacrificed")+COUNTIFS($E$5:$E$30,$E69,AH$5:AH$30,"Died"))*AG71</f>
        <v>#DIV/0!</v>
      </c>
      <c r="AI71" s="74" t="e">
        <f>AI69/(COUNTIFS($E$5:$E$30,$E69,AI$5:AI$30,"Alive")+COUNTIFS($E$5:$E$30,$E69,AI$5:AI$30,"Sacrificed")+COUNTIFS($E$5:$E$30,$E69,AI$5:AI$30,"Died"))*AH71</f>
        <v>#DIV/0!</v>
      </c>
      <c r="AJ71" s="74" t="e">
        <f>AJ69/(COUNTIFS($E$5:$E$30,$E69,AJ$5:AJ$30,"Alive")+COUNTIFS($E$5:$E$30,$E69,AJ$5:AJ$30,"Sacrificed")+COUNTIFS($E$5:$E$30,$E69,AJ$5:AJ$30,"Died"))*AI71</f>
        <v>#DIV/0!</v>
      </c>
      <c r="AK71" s="74" t="e">
        <f>AK69/(COUNTIFS($E$5:$E$30,$E69,AK$5:AK$30,"Alive")+COUNTIFS($E$5:$E$30,$E69,AK$5:AK$30,"Sacrificed")+COUNTIFS($E$5:$E$30,$E69,AK$5:AK$30,"Died"))*AJ71</f>
        <v>#DIV/0!</v>
      </c>
      <c r="AL71" s="74" t="e">
        <f>AL69/(COUNTIFS($E$5:$E$30,$E69,AL$5:AL$30,"Alive")+COUNTIFS($E$5:$E$30,$E69,AL$5:AL$30,"Sacrificed")+COUNTIFS($E$5:$E$30,$E69,AL$5:AL$30,"Died"))*AK71</f>
        <v>#DIV/0!</v>
      </c>
      <c r="AM71" s="74" t="e">
        <f>AM69/(COUNTIFS($E$5:$E$30,$E69,AM$5:AM$30,"Alive")+COUNTIFS($E$5:$E$30,$E69,AM$5:AM$30,"Sacrificed")+COUNTIFS($E$5:$E$30,$E69,AM$5:AM$30,"Died"))*AL71</f>
        <v>#DIV/0!</v>
      </c>
      <c r="AN71" s="74" t="e">
        <f>AN69/(COUNTIFS($E$5:$E$30,$E69,AN$5:AN$30,"Alive")+COUNTIFS($E$5:$E$30,$E69,AN$5:AN$30,"Sacrificed")+COUNTIFS($E$5:$E$30,$E69,AN$5:AN$30,"Died"))*AM71</f>
        <v>#DIV/0!</v>
      </c>
      <c r="AO71" s="74" t="e">
        <f>AO69/(COUNTIFS($E$5:$E$30,$E69,AO$5:AO$30,"Alive")+COUNTIFS($E$5:$E$30,$E69,AO$5:AO$30,"Sacrificed")+COUNTIFS($E$5:$E$30,$E69,AO$5:AO$30,"Died"))*AN71</f>
        <v>#DIV/0!</v>
      </c>
      <c r="AP71" s="74" t="e">
        <f>AP69/(COUNTIFS($E$5:$E$30,$E69,AP$5:AP$30,"Alive")+COUNTIFS($E$5:$E$30,$E69,AP$5:AP$30,"Sacrificed")+COUNTIFS($E$5:$E$30,$E69,AP$5:AP$30,"Died"))*AO71</f>
        <v>#DIV/0!</v>
      </c>
      <c r="AQ71" s="74" t="e">
        <f>AQ69/(COUNTIFS($E$5:$E$30,$E69,AQ$5:AQ$30,"Alive")+COUNTIFS($E$5:$E$30,$E69,AQ$5:AQ$30,"Sacrificed")+COUNTIFS($E$5:$E$30,$E69,AQ$5:AQ$30,"Died"))*AP71</f>
        <v>#DIV/0!</v>
      </c>
      <c r="AR71" s="74" t="e">
        <f>AR69/(COUNTIFS($E$5:$E$30,$E69,AR$5:AR$30,"Alive")+COUNTIFS($E$5:$E$30,$E69,AR$5:AR$30,"Sacrificed")+COUNTIFS($E$5:$E$30,$E69,AR$5:AR$30,"Died"))*AQ71</f>
        <v>#DIV/0!</v>
      </c>
      <c r="AS71" s="74" t="e">
        <f>AS69/(COUNTIFS($E$5:$E$30,$E69,AS$5:AS$30,"Alive")+COUNTIFS($E$5:$E$30,$E69,AS$5:AS$30,"Sacrificed")+COUNTIFS($E$5:$E$30,$E69,AS$5:AS$30,"Died"))*AR71</f>
        <v>#DIV/0!</v>
      </c>
      <c r="AT71" s="74" t="e">
        <f>AT69/(COUNTIFS($E$5:$E$30,$E69,AT$5:AT$30,"Alive")+COUNTIFS($E$5:$E$30,$E69,AT$5:AT$30,"Sacrificed")+COUNTIFS($E$5:$E$30,$E69,AT$5:AT$30,"Died"))*AS71</f>
        <v>#DIV/0!</v>
      </c>
      <c r="AU71" s="74" t="e">
        <f>AU69/(COUNTIFS($E$5:$E$30,$E69,AU$5:AU$30,"Alive")+COUNTIFS($E$5:$E$30,$E69,AU$5:AU$30,"Sacrificed")+COUNTIFS($E$5:$E$30,$E69,AU$5:AU$30,"Died"))*AT71</f>
        <v>#DIV/0!</v>
      </c>
      <c r="AV71" s="74" t="e">
        <f>AV69/(COUNTIFS($E$5:$E$30,$E69,AV$5:AV$30,"Alive")+COUNTIFS($E$5:$E$30,$E69,AV$5:AV$30,"Sacrificed")+COUNTIFS($E$5:$E$30,$E69,AV$5:AV$30,"Died"))*AU71</f>
        <v>#DIV/0!</v>
      </c>
      <c r="AW71" s="74" t="e">
        <f>AW69/(COUNTIFS($E$5:$E$30,$E69,AW$5:AW$30,"Alive")+COUNTIFS($E$5:$E$30,$E69,AW$5:AW$30,"Sacrificed")+COUNTIFS($E$5:$E$30,$E69,AW$5:AW$30,"Died"))*AV71</f>
        <v>#DIV/0!</v>
      </c>
      <c r="AX71" s="74" t="e">
        <f>AX69/(COUNTIFS($E$5:$E$30,$E69,AX$5:AX$30,"Alive")+COUNTIFS($E$5:$E$30,$E69,AX$5:AX$30,"Sacrificed")+COUNTIFS($E$5:$E$30,$E69,AX$5:AX$30,"Died"))*AW71</f>
        <v>#DIV/0!</v>
      </c>
      <c r="AY71" s="74" t="e">
        <f>AY69/(COUNTIFS($E$5:$E$30,$E69,AY$5:AY$30,"Alive")+COUNTIFS($E$5:$E$30,$E69,AY$5:AY$30,"Sacrificed")+COUNTIFS($E$5:$E$30,$E69,AY$5:AY$30,"Died"))*AX71</f>
        <v>#DIV/0!</v>
      </c>
      <c r="AZ71" s="74" t="e">
        <f>AZ69/(COUNTIFS($E$5:$E$30,$E69,AZ$5:AZ$30,"Alive")+COUNTIFS($E$5:$E$30,$E69,AZ$5:AZ$30,"Sacrificed")+COUNTIFS($E$5:$E$30,$E69,AZ$5:AZ$30,"Died"))*AY71</f>
        <v>#DIV/0!</v>
      </c>
      <c r="BA71" s="74" t="e">
        <f>BA69/(COUNTIFS($E$5:$E$30,$E69,BA$5:BA$30,"Alive")+COUNTIFS($E$5:$E$30,$E69,BA$5:BA$30,"Sacrificed")+COUNTIFS($E$5:$E$30,$E69,BA$5:BA$30,"Died"))*AZ71</f>
        <v>#DIV/0!</v>
      </c>
      <c r="BB71" s="3"/>
    </row>
    <row r="73" spans="1:54" ht="14.25" customHeight="1">
      <c r="A73" s="113"/>
      <c r="E73" s="118" t="str">
        <f>'FIG6 Groups'!C15</f>
        <v>Group 10</v>
      </c>
      <c r="H73" s="118" t="str">
        <f>E73</f>
        <v>Group 10</v>
      </c>
      <c r="I73" s="144" t="s">
        <v>52</v>
      </c>
      <c r="J73" s="78">
        <f>COUNTIFS($E$5:$E$30,$E73,J$5:J$30,"Alive")</f>
        <v>0</v>
      </c>
      <c r="K73" s="78">
        <f>COUNTIFS($E$5:$E$30,$E73,K$5:K$30,"Alive")</f>
        <v>0</v>
      </c>
      <c r="L73" s="78">
        <f>COUNTIFS($E$5:$E$30,$E73,L$5:L$30,"Alive")</f>
        <v>0</v>
      </c>
      <c r="M73" s="78">
        <f>COUNTIFS($E$5:$E$30,$E73,M$5:M$30,"Alive")</f>
        <v>0</v>
      </c>
      <c r="N73" s="78">
        <f>COUNTIFS($E$5:$E$30,$E73,N$5:N$30,"Alive")</f>
        <v>0</v>
      </c>
      <c r="O73" s="78">
        <f>COUNTIFS($E$5:$E$30,$E73,O$5:O$30,"Alive")</f>
        <v>0</v>
      </c>
      <c r="P73" s="78">
        <f>COUNTIFS($E$5:$E$30,$E73,P$5:P$30,"Alive")</f>
        <v>0</v>
      </c>
      <c r="Q73" s="78">
        <f>COUNTIFS($E$5:$E$30,$E73,Q$5:Q$30,"Alive")</f>
        <v>0</v>
      </c>
      <c r="R73" s="78">
        <f>COUNTIFS($E$5:$E$30,$E73,R$5:R$30,"Alive")</f>
        <v>0</v>
      </c>
      <c r="S73" s="78">
        <f>COUNTIFS($E$5:$E$30,$E73,S$5:S$30,"Alive")</f>
        <v>0</v>
      </c>
      <c r="T73" s="78">
        <f>COUNTIFS($E$5:$E$30,$E73,T$5:T$30,"Alive")</f>
        <v>0</v>
      </c>
      <c r="U73" s="78">
        <f>COUNTIFS($E$5:$E$30,$E73,U$5:U$30,"Alive")</f>
        <v>0</v>
      </c>
      <c r="V73" s="78">
        <f>COUNTIFS($E$5:$E$30,$E73,V$5:V$30,"Alive")</f>
        <v>0</v>
      </c>
      <c r="W73" s="78">
        <f>COUNTIFS($E$5:$E$30,$E73,W$5:W$30,"Alive")</f>
        <v>0</v>
      </c>
      <c r="X73" s="78">
        <f>COUNTIFS($E$5:$E$30,$E73,X$5:X$30,"Alive")</f>
        <v>0</v>
      </c>
      <c r="Y73" s="78">
        <f>COUNTIFS($E$5:$E$30,$E73,Y$5:Y$30,"Alive")</f>
        <v>0</v>
      </c>
      <c r="Z73" s="78">
        <f>COUNTIFS($E$5:$E$30,$E73,Z$5:Z$30,"Alive")</f>
        <v>0</v>
      </c>
      <c r="AA73" s="78">
        <f>COUNTIFS($E$5:$E$30,$E73,AA$5:AA$30,"Alive")</f>
        <v>0</v>
      </c>
      <c r="AB73" s="78">
        <f>COUNTIFS($E$5:$E$30,$E73,AB$5:AB$30,"Alive")</f>
        <v>0</v>
      </c>
      <c r="AC73" s="78">
        <f>COUNTIFS($E$5:$E$30,$E73,AC$5:AC$30,"Alive")</f>
        <v>0</v>
      </c>
      <c r="AD73" s="78">
        <f>COUNTIFS($E$5:$E$30,$E73,AD$5:AD$30,"Alive")</f>
        <v>0</v>
      </c>
      <c r="AE73" s="78">
        <f>COUNTIFS($E$5:$E$30,$E73,AE$5:AE$30,"Alive")</f>
        <v>0</v>
      </c>
      <c r="AF73" s="78">
        <f>COUNTIFS($E$5:$E$30,$E73,AF$5:AF$30,"Alive")</f>
        <v>0</v>
      </c>
      <c r="AG73" s="78">
        <f>COUNTIFS($E$5:$E$30,$E73,AG$5:AG$30,"Alive")</f>
        <v>0</v>
      </c>
      <c r="AH73" s="78">
        <f>COUNTIFS($E$5:$E$30,$E73,AH$5:AH$30,"Alive")</f>
        <v>0</v>
      </c>
      <c r="AI73" s="78">
        <f>COUNTIFS($E$5:$E$30,$E73,AI$5:AI$30,"Alive")</f>
        <v>0</v>
      </c>
      <c r="AJ73" s="78">
        <f>COUNTIFS($E$5:$E$30,$E73,AJ$5:AJ$30,"Alive")</f>
        <v>0</v>
      </c>
      <c r="AK73" s="78">
        <f>COUNTIFS($E$5:$E$30,$E73,AK$5:AK$30,"Alive")</f>
        <v>0</v>
      </c>
      <c r="AL73" s="78">
        <f>COUNTIFS($E$5:$E$30,$E73,AL$5:AL$30,"Alive")</f>
        <v>0</v>
      </c>
      <c r="AM73" s="78">
        <f>COUNTIFS($E$5:$E$30,$E73,AM$5:AM$30,"Alive")</f>
        <v>0</v>
      </c>
      <c r="AN73" s="78">
        <f>COUNTIFS($E$5:$E$30,$E73,AN$5:AN$30,"Alive")</f>
        <v>0</v>
      </c>
      <c r="AO73" s="78">
        <f>COUNTIFS($E$5:$E$30,$E73,AO$5:AO$30,"Alive")</f>
        <v>0</v>
      </c>
      <c r="AP73" s="78">
        <f>COUNTIFS($E$5:$E$30,$E73,AP$5:AP$30,"Alive")</f>
        <v>0</v>
      </c>
      <c r="AQ73" s="78">
        <f>COUNTIFS($E$5:$E$30,$E73,AQ$5:AQ$30,"Alive")</f>
        <v>0</v>
      </c>
      <c r="AR73" s="78">
        <f>COUNTIFS($E$5:$E$30,$E73,AR$5:AR$30,"Alive")</f>
        <v>0</v>
      </c>
      <c r="AS73" s="78">
        <f>COUNTIFS($E$5:$E$30,$E73,AS$5:AS$30,"Alive")</f>
        <v>0</v>
      </c>
      <c r="AT73" s="78">
        <f>COUNTIFS($E$5:$E$30,$E73,AT$5:AT$30,"Alive")</f>
        <v>0</v>
      </c>
      <c r="AU73" s="78">
        <f>COUNTIFS($E$5:$E$30,$E73,AU$5:AU$30,"Alive")</f>
        <v>0</v>
      </c>
      <c r="AV73" s="78">
        <f>COUNTIFS($E$5:$E$30,$E73,AV$5:AV$30,"Alive")</f>
        <v>0</v>
      </c>
      <c r="AW73" s="78">
        <f>COUNTIFS($E$5:$E$30,$E73,AW$5:AW$30,"Alive")</f>
        <v>0</v>
      </c>
      <c r="AX73" s="78">
        <f>COUNTIFS($E$5:$E$30,$E73,AX$5:AX$30,"Alive")</f>
        <v>0</v>
      </c>
      <c r="AY73" s="78">
        <f>COUNTIFS($E$5:$E$30,$E73,AY$5:AY$30,"Alive")</f>
        <v>0</v>
      </c>
      <c r="AZ73" s="78">
        <f>COUNTIFS($E$5:$E$30,$E73,AZ$5:AZ$30,"Alive")</f>
        <v>0</v>
      </c>
      <c r="BA73" s="78">
        <f>COUNTIFS($E$5:$E$30,$E73,BA$5:BA$30,"Alive")</f>
        <v>0</v>
      </c>
      <c r="BB73" s="76"/>
    </row>
    <row r="74" spans="1:54" ht="14.25" customHeight="1">
      <c r="A74" s="113"/>
      <c r="E74" s="93"/>
      <c r="H74" s="93"/>
      <c r="I74" s="144" t="s">
        <v>51</v>
      </c>
      <c r="J74" s="81">
        <f>COUNTIFS($E$5:$E$30,$E73,J$5:J$30,"Censored")</f>
        <v>0</v>
      </c>
      <c r="K74" s="81">
        <f>COUNTIFS($E$5:$E$30,$E73,K$5:K$30,"Censored")</f>
        <v>0</v>
      </c>
      <c r="L74" s="81">
        <f>COUNTIFS($E$5:$E$30,$E73,L$5:L$30,"Censored")</f>
        <v>0</v>
      </c>
      <c r="M74" s="81">
        <f>COUNTIFS($E$5:$E$30,$E73,M$5:M$30,"Censored")</f>
        <v>0</v>
      </c>
      <c r="N74" s="81">
        <f>COUNTIFS($E$5:$E$30,$E73,N$5:N$30,"Censored")</f>
        <v>0</v>
      </c>
      <c r="O74" s="81">
        <f>COUNTIFS($E$5:$E$30,$E73,O$5:O$30,"Censored")</f>
        <v>0</v>
      </c>
      <c r="P74" s="81">
        <f>COUNTIFS($E$5:$E$30,$E73,P$5:P$30,"Censored")</f>
        <v>0</v>
      </c>
      <c r="Q74" s="81">
        <f>COUNTIFS($E$5:$E$30,$E73,Q$5:Q$30,"Censored")</f>
        <v>0</v>
      </c>
      <c r="R74" s="81">
        <f>COUNTIFS($E$5:$E$30,$E73,R$5:R$30,"Censored")</f>
        <v>0</v>
      </c>
      <c r="S74" s="81">
        <f>COUNTIFS($E$5:$E$30,$E73,S$5:S$30,"Censored")</f>
        <v>0</v>
      </c>
      <c r="T74" s="81">
        <f>COUNTIFS($E$5:$E$30,$E73,T$5:T$30,"Censored")</f>
        <v>0</v>
      </c>
      <c r="U74" s="81">
        <f>COUNTIFS($E$5:$E$30,$E73,U$5:U$30,"Censored")</f>
        <v>0</v>
      </c>
      <c r="V74" s="81">
        <f>COUNTIFS($E$5:$E$30,$E73,V$5:V$30,"Censored")</f>
        <v>0</v>
      </c>
      <c r="W74" s="81">
        <f>COUNTIFS($E$5:$E$30,$E73,W$5:W$30,"Censored")</f>
        <v>0</v>
      </c>
      <c r="X74" s="81">
        <f>COUNTIFS($E$5:$E$30,$E73,X$5:X$30,"Censored")</f>
        <v>0</v>
      </c>
      <c r="Y74" s="81">
        <f>COUNTIFS($E$5:$E$30,$E73,Y$5:Y$30,"Censored")</f>
        <v>0</v>
      </c>
      <c r="Z74" s="81">
        <f>COUNTIFS($E$5:$E$30,$E73,Z$5:Z$30,"Censored")</f>
        <v>0</v>
      </c>
      <c r="AA74" s="81">
        <f>COUNTIFS($E$5:$E$30,$E73,AA$5:AA$30,"Censored")</f>
        <v>0</v>
      </c>
      <c r="AB74" s="81">
        <f>COUNTIFS($E$5:$E$30,$E73,AB$5:AB$30,"Censored")</f>
        <v>0</v>
      </c>
      <c r="AC74" s="81">
        <f>COUNTIFS($E$5:$E$30,$E73,AC$5:AC$30,"Censored")</f>
        <v>0</v>
      </c>
      <c r="AD74" s="81">
        <f>COUNTIFS($E$5:$E$30,$E73,AD$5:AD$30,"Censored")</f>
        <v>0</v>
      </c>
      <c r="AE74" s="81">
        <f>COUNTIFS($E$5:$E$30,$E73,AE$5:AE$30,"Censored")</f>
        <v>0</v>
      </c>
      <c r="AF74" s="81">
        <f>COUNTIFS($E$5:$E$30,$E73,AF$5:AF$30,"Censored")</f>
        <v>0</v>
      </c>
      <c r="AG74" s="81">
        <f>COUNTIFS($E$5:$E$30,$E73,AG$5:AG$30,"Censored")</f>
        <v>0</v>
      </c>
      <c r="AH74" s="81">
        <f>COUNTIFS($E$5:$E$30,$E73,AH$5:AH$30,"Censored")</f>
        <v>0</v>
      </c>
      <c r="AI74" s="81">
        <f>COUNTIFS($E$5:$E$30,$E73,AI$5:AI$30,"Censored")</f>
        <v>0</v>
      </c>
      <c r="AJ74" s="81">
        <f>COUNTIFS($E$5:$E$30,$E73,AJ$5:AJ$30,"Censored")</f>
        <v>0</v>
      </c>
      <c r="AK74" s="81">
        <f>COUNTIFS($E$5:$E$30,$E73,AK$5:AK$30,"Censored")</f>
        <v>0</v>
      </c>
      <c r="AL74" s="81">
        <f>COUNTIFS($E$5:$E$30,$E73,AL$5:AL$30,"Censored")</f>
        <v>0</v>
      </c>
      <c r="AM74" s="81">
        <f>COUNTIFS($E$5:$E$30,$E73,AM$5:AM$30,"Censored")</f>
        <v>0</v>
      </c>
      <c r="AN74" s="81">
        <f>COUNTIFS($E$5:$E$30,$E73,AN$5:AN$30,"Censored")</f>
        <v>0</v>
      </c>
      <c r="AO74" s="81">
        <f>COUNTIFS($E$5:$E$30,$E73,AO$5:AO$30,"Censored")</f>
        <v>0</v>
      </c>
      <c r="AP74" s="81">
        <f>COUNTIFS($E$5:$E$30,$E73,AP$5:AP$30,"Censored")</f>
        <v>0</v>
      </c>
      <c r="AQ74" s="81">
        <f>COUNTIFS($E$5:$E$30,$E73,AQ$5:AQ$30,"Censored")</f>
        <v>0</v>
      </c>
      <c r="AR74" s="81">
        <f>COUNTIFS($E$5:$E$30,$E73,AR$5:AR$30,"Censored")</f>
        <v>0</v>
      </c>
      <c r="AS74" s="81">
        <f>COUNTIFS($E$5:$E$30,$E73,AS$5:AS$30,"Censored")</f>
        <v>0</v>
      </c>
      <c r="AT74" s="81">
        <f>COUNTIFS($E$5:$E$30,$E73,AT$5:AT$30,"Censored")</f>
        <v>0</v>
      </c>
      <c r="AU74" s="81">
        <f>COUNTIFS($E$5:$E$30,$E73,AU$5:AU$30,"Censored")</f>
        <v>0</v>
      </c>
      <c r="AV74" s="81">
        <f>COUNTIFS($E$5:$E$30,$E73,AV$5:AV$30,"Censored")</f>
        <v>0</v>
      </c>
      <c r="AW74" s="81">
        <f>COUNTIFS($E$5:$E$30,$E73,AW$5:AW$30,"Censored")</f>
        <v>0</v>
      </c>
      <c r="AX74" s="81">
        <f>COUNTIFS($E$5:$E$30,$E73,AX$5:AX$30,"Censored")</f>
        <v>0</v>
      </c>
      <c r="AY74" s="81">
        <f>COUNTIFS($E$5:$E$30,$E73,AY$5:AY$30,"Censored")</f>
        <v>0</v>
      </c>
      <c r="AZ74" s="81">
        <f>COUNTIFS($E$5:$E$30,$E73,AZ$5:AZ$30,"Censored")</f>
        <v>0</v>
      </c>
      <c r="BA74" s="81">
        <f>COUNTIFS($E$5:$E$30,$E73,BA$5:BA$30,"Censored")</f>
        <v>0</v>
      </c>
      <c r="BB74" s="76"/>
    </row>
    <row r="75" spans="1:54" ht="14.25" customHeight="1">
      <c r="A75" s="46"/>
      <c r="B75" s="45"/>
      <c r="C75" s="47"/>
      <c r="D75" s="45"/>
      <c r="E75" s="92"/>
      <c r="F75" s="71"/>
      <c r="G75" s="82"/>
      <c r="H75" s="93"/>
      <c r="I75" s="144" t="s">
        <v>53</v>
      </c>
      <c r="J75" s="74" t="e">
        <f>J73/(COUNTIFS($E$5:$E$30,$E73,J$5:J$30,"Alive")+COUNTIFS($E$5:$E$30,$E73,J$5:J$30,"Sacrificed")+COUNTIFS($E$5:$E$30,$E73,J$5:J$30,"Died"))</f>
        <v>#DIV/0!</v>
      </c>
      <c r="K75" s="74" t="e">
        <f>K73/(COUNTIFS($E$5:$E$30,$E73,K$5:K$30,"Alive")+COUNTIFS($E$5:$E$30,$E73,K$5:K$30,"Sacrificed")+COUNTIFS($E$5:$E$30,$E73,K$5:K$30,"Died"))*J75</f>
        <v>#DIV/0!</v>
      </c>
      <c r="L75" s="74" t="e">
        <f>L73/(COUNTIFS($E$5:$E$30,$E73,L$5:L$30,"Alive")+COUNTIFS($E$5:$E$30,$E73,L$5:L$30,"Sacrificed")+COUNTIFS($E$5:$E$30,$E73,L$5:L$30,"Died"))*K75</f>
        <v>#DIV/0!</v>
      </c>
      <c r="M75" s="74" t="e">
        <f>M73/(COUNTIFS($E$5:$E$30,$E73,M$5:M$30,"Alive")+COUNTIFS($E$5:$E$30,$E73,M$5:M$30,"Sacrificed")+COUNTIFS($E$5:$E$30,$E73,M$5:M$30,"Died"))*L75</f>
        <v>#DIV/0!</v>
      </c>
      <c r="N75" s="74" t="e">
        <f>N73/(COUNTIFS($E$5:$E$30,$E73,N$5:N$30,"Alive")+COUNTIFS($E$5:$E$30,$E73,N$5:N$30,"Sacrificed")+COUNTIFS($E$5:$E$30,$E73,N$5:N$30,"Died"))*M75</f>
        <v>#DIV/0!</v>
      </c>
      <c r="O75" s="74" t="e">
        <f>O73/(COUNTIFS($E$5:$E$30,$E73,O$5:O$30,"Alive")+COUNTIFS($E$5:$E$30,$E73,O$5:O$30,"Sacrificed")+COUNTIFS($E$5:$E$30,$E73,O$5:O$30,"Died"))*N75</f>
        <v>#DIV/0!</v>
      </c>
      <c r="P75" s="74" t="e">
        <f>P73/(COUNTIFS($E$5:$E$30,$E73,P$5:P$30,"Alive")+COUNTIFS($E$5:$E$30,$E73,P$5:P$30,"Sacrificed")+COUNTIFS($E$5:$E$30,$E73,P$5:P$30,"Died"))*O75</f>
        <v>#DIV/0!</v>
      </c>
      <c r="Q75" s="74" t="e">
        <f>Q73/(COUNTIFS($E$5:$E$30,$E73,Q$5:Q$30,"Alive")+COUNTIFS($E$5:$E$30,$E73,Q$5:Q$30,"Sacrificed")+COUNTIFS($E$5:$E$30,$E73,Q$5:Q$30,"Died"))*P75</f>
        <v>#DIV/0!</v>
      </c>
      <c r="R75" s="74" t="e">
        <f>R73/(COUNTIFS($E$5:$E$30,$E73,R$5:R$30,"Alive")+COUNTIFS($E$5:$E$30,$E73,R$5:R$30,"Sacrificed")+COUNTIFS($E$5:$E$30,$E73,R$5:R$30,"Died"))*Q75</f>
        <v>#DIV/0!</v>
      </c>
      <c r="S75" s="74" t="e">
        <f>S73/(COUNTIFS($E$5:$E$30,$E73,S$5:S$30,"Alive")+COUNTIFS($E$5:$E$30,$E73,S$5:S$30,"Sacrificed")+COUNTIFS($E$5:$E$30,$E73,S$5:S$30,"Died"))*R75</f>
        <v>#DIV/0!</v>
      </c>
      <c r="T75" s="74" t="e">
        <f>T73/(COUNTIFS($E$5:$E$30,$E73,T$5:T$30,"Alive")+COUNTIFS($E$5:$E$30,$E73,T$5:T$30,"Sacrificed")+COUNTIFS($E$5:$E$30,$E73,T$5:T$30,"Died"))*S75</f>
        <v>#DIV/0!</v>
      </c>
      <c r="U75" s="74" t="e">
        <f>U73/(COUNTIFS($E$5:$E$30,$E73,U$5:U$30,"Alive")+COUNTIFS($E$5:$E$30,$E73,U$5:U$30,"Sacrificed")+COUNTIFS($E$5:$E$30,$E73,U$5:U$30,"Died"))*T75</f>
        <v>#DIV/0!</v>
      </c>
      <c r="V75" s="74" t="e">
        <f>V73/(COUNTIFS($E$5:$E$30,$E73,V$5:V$30,"Alive")+COUNTIFS($E$5:$E$30,$E73,V$5:V$30,"Sacrificed")+COUNTIFS($E$5:$E$30,$E73,V$5:V$30,"Died"))*U75</f>
        <v>#DIV/0!</v>
      </c>
      <c r="W75" s="74" t="e">
        <f>W73/(COUNTIFS($E$5:$E$30,$E73,W$5:W$30,"Alive")+COUNTIFS($E$5:$E$30,$E73,W$5:W$30,"Sacrificed")+COUNTIFS($E$5:$E$30,$E73,W$5:W$30,"Died"))*V75</f>
        <v>#DIV/0!</v>
      </c>
      <c r="X75" s="74" t="e">
        <f>X73/(COUNTIFS($E$5:$E$30,$E73,X$5:X$30,"Alive")+COUNTIFS($E$5:$E$30,$E73,X$5:X$30,"Sacrificed")+COUNTIFS($E$5:$E$30,$E73,X$5:X$30,"Died"))*W75</f>
        <v>#DIV/0!</v>
      </c>
      <c r="Y75" s="74" t="e">
        <f>Y73/(COUNTIFS($E$5:$E$30,$E73,Y$5:Y$30,"Alive")+COUNTIFS($E$5:$E$30,$E73,Y$5:Y$30,"Sacrificed")+COUNTIFS($E$5:$E$30,$E73,Y$5:Y$30,"Died"))*X75</f>
        <v>#DIV/0!</v>
      </c>
      <c r="Z75" s="74" t="e">
        <f>Z73/(COUNTIFS($E$5:$E$30,$E73,Z$5:Z$30,"Alive")+COUNTIFS($E$5:$E$30,$E73,Z$5:Z$30,"Sacrificed")+COUNTIFS($E$5:$E$30,$E73,Z$5:Z$30,"Died"))*Y75</f>
        <v>#DIV/0!</v>
      </c>
      <c r="AA75" s="74" t="e">
        <f>AA73/(COUNTIFS($E$5:$E$30,$E73,AA$5:AA$30,"Alive")+COUNTIFS($E$5:$E$30,$E73,AA$5:AA$30,"Sacrificed")+COUNTIFS($E$5:$E$30,$E73,AA$5:AA$30,"Died"))*Z75</f>
        <v>#DIV/0!</v>
      </c>
      <c r="AB75" s="74" t="e">
        <f>AB73/(COUNTIFS($E$5:$E$30,$E73,AB$5:AB$30,"Alive")+COUNTIFS($E$5:$E$30,$E73,AB$5:AB$30,"Sacrificed")+COUNTIFS($E$5:$E$30,$E73,AB$5:AB$30,"Died"))*AA75</f>
        <v>#DIV/0!</v>
      </c>
      <c r="AC75" s="74" t="e">
        <f>AC73/(COUNTIFS($E$5:$E$30,$E73,AC$5:AC$30,"Alive")+COUNTIFS($E$5:$E$30,$E73,AC$5:AC$30,"Sacrificed")+COUNTIFS($E$5:$E$30,$E73,AC$5:AC$30,"Died"))*AB75</f>
        <v>#DIV/0!</v>
      </c>
      <c r="AD75" s="74" t="e">
        <f>AD73/(COUNTIFS($E$5:$E$30,$E73,AD$5:AD$30,"Alive")+COUNTIFS($E$5:$E$30,$E73,AD$5:AD$30,"Sacrificed")+COUNTIFS($E$5:$E$30,$E73,AD$5:AD$30,"Died"))*AC75</f>
        <v>#DIV/0!</v>
      </c>
      <c r="AE75" s="74" t="e">
        <f>AE73/(COUNTIFS($E$5:$E$30,$E73,AE$5:AE$30,"Alive")+COUNTIFS($E$5:$E$30,$E73,AE$5:AE$30,"Sacrificed")+COUNTIFS($E$5:$E$30,$E73,AE$5:AE$30,"Died"))*AD75</f>
        <v>#DIV/0!</v>
      </c>
      <c r="AF75" s="74" t="e">
        <f>AF73/(COUNTIFS($E$5:$E$30,$E73,AF$5:AF$30,"Alive")+COUNTIFS($E$5:$E$30,$E73,AF$5:AF$30,"Sacrificed")+COUNTIFS($E$5:$E$30,$E73,AF$5:AF$30,"Died"))*AE75</f>
        <v>#DIV/0!</v>
      </c>
      <c r="AG75" s="74" t="e">
        <f>AG73/(COUNTIFS($E$5:$E$30,$E73,AG$5:AG$30,"Alive")+COUNTIFS($E$5:$E$30,$E73,AG$5:AG$30,"Sacrificed")+COUNTIFS($E$5:$E$30,$E73,AG$5:AG$30,"Died"))*AF75</f>
        <v>#DIV/0!</v>
      </c>
      <c r="AH75" s="74" t="e">
        <f>AH73/(COUNTIFS($E$5:$E$30,$E73,AH$5:AH$30,"Alive")+COUNTIFS($E$5:$E$30,$E73,AH$5:AH$30,"Sacrificed")+COUNTIFS($E$5:$E$30,$E73,AH$5:AH$30,"Died"))*AG75</f>
        <v>#DIV/0!</v>
      </c>
      <c r="AI75" s="74" t="e">
        <f>AI73/(COUNTIFS($E$5:$E$30,$E73,AI$5:AI$30,"Alive")+COUNTIFS($E$5:$E$30,$E73,AI$5:AI$30,"Sacrificed")+COUNTIFS($E$5:$E$30,$E73,AI$5:AI$30,"Died"))*AH75</f>
        <v>#DIV/0!</v>
      </c>
      <c r="AJ75" s="74" t="e">
        <f>AJ73/(COUNTIFS($E$5:$E$30,$E73,AJ$5:AJ$30,"Alive")+COUNTIFS($E$5:$E$30,$E73,AJ$5:AJ$30,"Sacrificed")+COUNTIFS($E$5:$E$30,$E73,AJ$5:AJ$30,"Died"))*AI75</f>
        <v>#DIV/0!</v>
      </c>
      <c r="AK75" s="74" t="e">
        <f>AK73/(COUNTIFS($E$5:$E$30,$E73,AK$5:AK$30,"Alive")+COUNTIFS($E$5:$E$30,$E73,AK$5:AK$30,"Sacrificed")+COUNTIFS($E$5:$E$30,$E73,AK$5:AK$30,"Died"))*AJ75</f>
        <v>#DIV/0!</v>
      </c>
      <c r="AL75" s="74" t="e">
        <f>AL73/(COUNTIFS($E$5:$E$30,$E73,AL$5:AL$30,"Alive")+COUNTIFS($E$5:$E$30,$E73,AL$5:AL$30,"Sacrificed")+COUNTIFS($E$5:$E$30,$E73,AL$5:AL$30,"Died"))*AK75</f>
        <v>#DIV/0!</v>
      </c>
      <c r="AM75" s="74" t="e">
        <f>AM73/(COUNTIFS($E$5:$E$30,$E73,AM$5:AM$30,"Alive")+COUNTIFS($E$5:$E$30,$E73,AM$5:AM$30,"Sacrificed")+COUNTIFS($E$5:$E$30,$E73,AM$5:AM$30,"Died"))*AL75</f>
        <v>#DIV/0!</v>
      </c>
      <c r="AN75" s="74" t="e">
        <f>AN73/(COUNTIFS($E$5:$E$30,$E73,AN$5:AN$30,"Alive")+COUNTIFS($E$5:$E$30,$E73,AN$5:AN$30,"Sacrificed")+COUNTIFS($E$5:$E$30,$E73,AN$5:AN$30,"Died"))*AM75</f>
        <v>#DIV/0!</v>
      </c>
      <c r="AO75" s="74" t="e">
        <f>AO73/(COUNTIFS($E$5:$E$30,$E73,AO$5:AO$30,"Alive")+COUNTIFS($E$5:$E$30,$E73,AO$5:AO$30,"Sacrificed")+COUNTIFS($E$5:$E$30,$E73,AO$5:AO$30,"Died"))*AN75</f>
        <v>#DIV/0!</v>
      </c>
      <c r="AP75" s="74" t="e">
        <f>AP73/(COUNTIFS($E$5:$E$30,$E73,AP$5:AP$30,"Alive")+COUNTIFS($E$5:$E$30,$E73,AP$5:AP$30,"Sacrificed")+COUNTIFS($E$5:$E$30,$E73,AP$5:AP$30,"Died"))*AO75</f>
        <v>#DIV/0!</v>
      </c>
      <c r="AQ75" s="74" t="e">
        <f>AQ73/(COUNTIFS($E$5:$E$30,$E73,AQ$5:AQ$30,"Alive")+COUNTIFS($E$5:$E$30,$E73,AQ$5:AQ$30,"Sacrificed")+COUNTIFS($E$5:$E$30,$E73,AQ$5:AQ$30,"Died"))*AP75</f>
        <v>#DIV/0!</v>
      </c>
      <c r="AR75" s="74" t="e">
        <f>AR73/(COUNTIFS($E$5:$E$30,$E73,AR$5:AR$30,"Alive")+COUNTIFS($E$5:$E$30,$E73,AR$5:AR$30,"Sacrificed")+COUNTIFS($E$5:$E$30,$E73,AR$5:AR$30,"Died"))*AQ75</f>
        <v>#DIV/0!</v>
      </c>
      <c r="AS75" s="74" t="e">
        <f>AS73/(COUNTIFS($E$5:$E$30,$E73,AS$5:AS$30,"Alive")+COUNTIFS($E$5:$E$30,$E73,AS$5:AS$30,"Sacrificed")+COUNTIFS($E$5:$E$30,$E73,AS$5:AS$30,"Died"))*AR75</f>
        <v>#DIV/0!</v>
      </c>
      <c r="AT75" s="74" t="e">
        <f>AT73/(COUNTIFS($E$5:$E$30,$E73,AT$5:AT$30,"Alive")+COUNTIFS($E$5:$E$30,$E73,AT$5:AT$30,"Sacrificed")+COUNTIFS($E$5:$E$30,$E73,AT$5:AT$30,"Died"))*AS75</f>
        <v>#DIV/0!</v>
      </c>
      <c r="AU75" s="74" t="e">
        <f>AU73/(COUNTIFS($E$5:$E$30,$E73,AU$5:AU$30,"Alive")+COUNTIFS($E$5:$E$30,$E73,AU$5:AU$30,"Sacrificed")+COUNTIFS($E$5:$E$30,$E73,AU$5:AU$30,"Died"))*AT75</f>
        <v>#DIV/0!</v>
      </c>
      <c r="AV75" s="74" t="e">
        <f>AV73/(COUNTIFS($E$5:$E$30,$E73,AV$5:AV$30,"Alive")+COUNTIFS($E$5:$E$30,$E73,AV$5:AV$30,"Sacrificed")+COUNTIFS($E$5:$E$30,$E73,AV$5:AV$30,"Died"))*AU75</f>
        <v>#DIV/0!</v>
      </c>
      <c r="AW75" s="74" t="e">
        <f>AW73/(COUNTIFS($E$5:$E$30,$E73,AW$5:AW$30,"Alive")+COUNTIFS($E$5:$E$30,$E73,AW$5:AW$30,"Sacrificed")+COUNTIFS($E$5:$E$30,$E73,AW$5:AW$30,"Died"))*AV75</f>
        <v>#DIV/0!</v>
      </c>
      <c r="AX75" s="74" t="e">
        <f>AX73/(COUNTIFS($E$5:$E$30,$E73,AX$5:AX$30,"Alive")+COUNTIFS($E$5:$E$30,$E73,AX$5:AX$30,"Sacrificed")+COUNTIFS($E$5:$E$30,$E73,AX$5:AX$30,"Died"))*AW75</f>
        <v>#DIV/0!</v>
      </c>
      <c r="AY75" s="74" t="e">
        <f>AY73/(COUNTIFS($E$5:$E$30,$E73,AY$5:AY$30,"Alive")+COUNTIFS($E$5:$E$30,$E73,AY$5:AY$30,"Sacrificed")+COUNTIFS($E$5:$E$30,$E73,AY$5:AY$30,"Died"))*AX75</f>
        <v>#DIV/0!</v>
      </c>
      <c r="AZ75" s="74" t="e">
        <f>AZ73/(COUNTIFS($E$5:$E$30,$E73,AZ$5:AZ$30,"Alive")+COUNTIFS($E$5:$E$30,$E73,AZ$5:AZ$30,"Sacrificed")+COUNTIFS($E$5:$E$30,$E73,AZ$5:AZ$30,"Died"))*AY75</f>
        <v>#DIV/0!</v>
      </c>
      <c r="BA75" s="74" t="e">
        <f>BA73/(COUNTIFS($E$5:$E$30,$E73,BA$5:BA$30,"Alive")+COUNTIFS($E$5:$E$30,$E73,BA$5:BA$30,"Sacrificed")+COUNTIFS($E$5:$E$30,$E73,BA$5:BA$30,"Died"))*AZ75</f>
        <v>#DIV/0!</v>
      </c>
      <c r="BB75" s="3"/>
    </row>
    <row r="77" spans="1:54" ht="14.25" customHeight="1">
      <c r="A77" s="113"/>
      <c r="E77" s="118" t="str">
        <f>'FIG6 Groups'!C16</f>
        <v>Group 11</v>
      </c>
      <c r="H77" s="118" t="str">
        <f>E77</f>
        <v>Group 11</v>
      </c>
      <c r="I77" s="144" t="s">
        <v>52</v>
      </c>
      <c r="J77" s="78">
        <f>COUNTIFS($E$5:$E$30,$E77,J$5:J$30,"Alive")</f>
        <v>0</v>
      </c>
      <c r="K77" s="78">
        <f>COUNTIFS($E$5:$E$30,$E77,K$5:K$30,"Alive")</f>
        <v>0</v>
      </c>
      <c r="L77" s="78">
        <f>COUNTIFS($E$5:$E$30,$E77,L$5:L$30,"Alive")</f>
        <v>0</v>
      </c>
      <c r="M77" s="78">
        <f>COUNTIFS($E$5:$E$30,$E77,M$5:M$30,"Alive")</f>
        <v>0</v>
      </c>
      <c r="N77" s="78">
        <f>COUNTIFS($E$5:$E$30,$E77,N$5:N$30,"Alive")</f>
        <v>0</v>
      </c>
      <c r="O77" s="78">
        <f>COUNTIFS($E$5:$E$30,$E77,O$5:O$30,"Alive")</f>
        <v>0</v>
      </c>
      <c r="P77" s="78">
        <f>COUNTIFS($E$5:$E$30,$E77,P$5:P$30,"Alive")</f>
        <v>0</v>
      </c>
      <c r="Q77" s="78">
        <f>COUNTIFS($E$5:$E$30,$E77,Q$5:Q$30,"Alive")</f>
        <v>0</v>
      </c>
      <c r="R77" s="78">
        <f>COUNTIFS($E$5:$E$30,$E77,R$5:R$30,"Alive")</f>
        <v>0</v>
      </c>
      <c r="S77" s="78">
        <f>COUNTIFS($E$5:$E$30,$E77,S$5:S$30,"Alive")</f>
        <v>0</v>
      </c>
      <c r="T77" s="78">
        <f>COUNTIFS($E$5:$E$30,$E77,T$5:T$30,"Alive")</f>
        <v>0</v>
      </c>
      <c r="U77" s="78">
        <f>COUNTIFS($E$5:$E$30,$E77,U$5:U$30,"Alive")</f>
        <v>0</v>
      </c>
      <c r="V77" s="78">
        <f>COUNTIFS($E$5:$E$30,$E77,V$5:V$30,"Alive")</f>
        <v>0</v>
      </c>
      <c r="W77" s="78">
        <f>COUNTIFS($E$5:$E$30,$E77,W$5:W$30,"Alive")</f>
        <v>0</v>
      </c>
      <c r="X77" s="78">
        <f>COUNTIFS($E$5:$E$30,$E77,X$5:X$30,"Alive")</f>
        <v>0</v>
      </c>
      <c r="Y77" s="78">
        <f>COUNTIFS($E$5:$E$30,$E77,Y$5:Y$30,"Alive")</f>
        <v>0</v>
      </c>
      <c r="Z77" s="78">
        <f>COUNTIFS($E$5:$E$30,$E77,Z$5:Z$30,"Alive")</f>
        <v>0</v>
      </c>
      <c r="AA77" s="78">
        <f>COUNTIFS($E$5:$E$30,$E77,AA$5:AA$30,"Alive")</f>
        <v>0</v>
      </c>
      <c r="AB77" s="78">
        <f>COUNTIFS($E$5:$E$30,$E77,AB$5:AB$30,"Alive")</f>
        <v>0</v>
      </c>
      <c r="AC77" s="78">
        <f>COUNTIFS($E$5:$E$30,$E77,AC$5:AC$30,"Alive")</f>
        <v>0</v>
      </c>
      <c r="AD77" s="78">
        <f>COUNTIFS($E$5:$E$30,$E77,AD$5:AD$30,"Alive")</f>
        <v>0</v>
      </c>
      <c r="AE77" s="78">
        <f>COUNTIFS($E$5:$E$30,$E77,AE$5:AE$30,"Alive")</f>
        <v>0</v>
      </c>
      <c r="AF77" s="78">
        <f>COUNTIFS($E$5:$E$30,$E77,AF$5:AF$30,"Alive")</f>
        <v>0</v>
      </c>
      <c r="AG77" s="78">
        <f>COUNTIFS($E$5:$E$30,$E77,AG$5:AG$30,"Alive")</f>
        <v>0</v>
      </c>
      <c r="AH77" s="78">
        <f>COUNTIFS($E$5:$E$30,$E77,AH$5:AH$30,"Alive")</f>
        <v>0</v>
      </c>
      <c r="AI77" s="78">
        <f>COUNTIFS($E$5:$E$30,$E77,AI$5:AI$30,"Alive")</f>
        <v>0</v>
      </c>
      <c r="AJ77" s="78">
        <f>COUNTIFS($E$5:$E$30,$E77,AJ$5:AJ$30,"Alive")</f>
        <v>0</v>
      </c>
      <c r="AK77" s="78">
        <f>COUNTIFS($E$5:$E$30,$E77,AK$5:AK$30,"Alive")</f>
        <v>0</v>
      </c>
      <c r="AL77" s="78">
        <f>COUNTIFS($E$5:$E$30,$E77,AL$5:AL$30,"Alive")</f>
        <v>0</v>
      </c>
      <c r="AM77" s="78">
        <f>COUNTIFS($E$5:$E$30,$E77,AM$5:AM$30,"Alive")</f>
        <v>0</v>
      </c>
      <c r="AN77" s="78">
        <f>COUNTIFS($E$5:$E$30,$E77,AN$5:AN$30,"Alive")</f>
        <v>0</v>
      </c>
      <c r="AO77" s="78">
        <f>COUNTIFS($E$5:$E$30,$E77,AO$5:AO$30,"Alive")</f>
        <v>0</v>
      </c>
      <c r="AP77" s="78">
        <f>COUNTIFS($E$5:$E$30,$E77,AP$5:AP$30,"Alive")</f>
        <v>0</v>
      </c>
      <c r="AQ77" s="78">
        <f>COUNTIFS($E$5:$E$30,$E77,AQ$5:AQ$30,"Alive")</f>
        <v>0</v>
      </c>
      <c r="AR77" s="78">
        <f>COUNTIFS($E$5:$E$30,$E77,AR$5:AR$30,"Alive")</f>
        <v>0</v>
      </c>
      <c r="AS77" s="78">
        <f>COUNTIFS($E$5:$E$30,$E77,AS$5:AS$30,"Alive")</f>
        <v>0</v>
      </c>
      <c r="AT77" s="78">
        <f>COUNTIFS($E$5:$E$30,$E77,AT$5:AT$30,"Alive")</f>
        <v>0</v>
      </c>
      <c r="AU77" s="78">
        <f>COUNTIFS($E$5:$E$30,$E77,AU$5:AU$30,"Alive")</f>
        <v>0</v>
      </c>
      <c r="AV77" s="78">
        <f>COUNTIFS($E$5:$E$30,$E77,AV$5:AV$30,"Alive")</f>
        <v>0</v>
      </c>
      <c r="AW77" s="78">
        <f>COUNTIFS($E$5:$E$30,$E77,AW$5:AW$30,"Alive")</f>
        <v>0</v>
      </c>
      <c r="AX77" s="78">
        <f>COUNTIFS($E$5:$E$30,$E77,AX$5:AX$30,"Alive")</f>
        <v>0</v>
      </c>
      <c r="AY77" s="78">
        <f>COUNTIFS($E$5:$E$30,$E77,AY$5:AY$30,"Alive")</f>
        <v>0</v>
      </c>
      <c r="AZ77" s="78">
        <f>COUNTIFS($E$5:$E$30,$E77,AZ$5:AZ$30,"Alive")</f>
        <v>0</v>
      </c>
      <c r="BA77" s="78">
        <f>COUNTIFS($E$5:$E$30,$E77,BA$5:BA$30,"Alive")</f>
        <v>0</v>
      </c>
      <c r="BB77" s="76"/>
    </row>
    <row r="78" spans="1:54" ht="14.25" customHeight="1">
      <c r="A78" s="113"/>
      <c r="E78" s="93"/>
      <c r="H78" s="93"/>
      <c r="I78" s="144" t="s">
        <v>51</v>
      </c>
      <c r="J78" s="81">
        <f>COUNTIFS($E$5:$E$30,$E77,J$5:J$30,"Censored")</f>
        <v>0</v>
      </c>
      <c r="K78" s="81">
        <f>COUNTIFS($E$5:$E$30,$E77,K$5:K$30,"Censored")</f>
        <v>0</v>
      </c>
      <c r="L78" s="81">
        <f>COUNTIFS($E$5:$E$30,$E77,L$5:L$30,"Censored")</f>
        <v>0</v>
      </c>
      <c r="M78" s="81">
        <f>COUNTIFS($E$5:$E$30,$E77,M$5:M$30,"Censored")</f>
        <v>0</v>
      </c>
      <c r="N78" s="81">
        <f>COUNTIFS($E$5:$E$30,$E77,N$5:N$30,"Censored")</f>
        <v>0</v>
      </c>
      <c r="O78" s="81">
        <f>COUNTIFS($E$5:$E$30,$E77,O$5:O$30,"Censored")</f>
        <v>0</v>
      </c>
      <c r="P78" s="81">
        <f>COUNTIFS($E$5:$E$30,$E77,P$5:P$30,"Censored")</f>
        <v>0</v>
      </c>
      <c r="Q78" s="81">
        <f>COUNTIFS($E$5:$E$30,$E77,Q$5:Q$30,"Censored")</f>
        <v>0</v>
      </c>
      <c r="R78" s="81">
        <f>COUNTIFS($E$5:$E$30,$E77,R$5:R$30,"Censored")</f>
        <v>0</v>
      </c>
      <c r="S78" s="81">
        <f>COUNTIFS($E$5:$E$30,$E77,S$5:S$30,"Censored")</f>
        <v>0</v>
      </c>
      <c r="T78" s="81">
        <f>COUNTIFS($E$5:$E$30,$E77,T$5:T$30,"Censored")</f>
        <v>0</v>
      </c>
      <c r="U78" s="81">
        <f>COUNTIFS($E$5:$E$30,$E77,U$5:U$30,"Censored")</f>
        <v>0</v>
      </c>
      <c r="V78" s="81">
        <f>COUNTIFS($E$5:$E$30,$E77,V$5:V$30,"Censored")</f>
        <v>0</v>
      </c>
      <c r="W78" s="81">
        <f>COUNTIFS($E$5:$E$30,$E77,W$5:W$30,"Censored")</f>
        <v>0</v>
      </c>
      <c r="X78" s="81">
        <f>COUNTIFS($E$5:$E$30,$E77,X$5:X$30,"Censored")</f>
        <v>0</v>
      </c>
      <c r="Y78" s="81">
        <f>COUNTIFS($E$5:$E$30,$E77,Y$5:Y$30,"Censored")</f>
        <v>0</v>
      </c>
      <c r="Z78" s="81">
        <f>COUNTIFS($E$5:$E$30,$E77,Z$5:Z$30,"Censored")</f>
        <v>0</v>
      </c>
      <c r="AA78" s="81">
        <f>COUNTIFS($E$5:$E$30,$E77,AA$5:AA$30,"Censored")</f>
        <v>0</v>
      </c>
      <c r="AB78" s="81">
        <f>COUNTIFS($E$5:$E$30,$E77,AB$5:AB$30,"Censored")</f>
        <v>0</v>
      </c>
      <c r="AC78" s="81">
        <f>COUNTIFS($E$5:$E$30,$E77,AC$5:AC$30,"Censored")</f>
        <v>0</v>
      </c>
      <c r="AD78" s="81">
        <f>COUNTIFS($E$5:$E$30,$E77,AD$5:AD$30,"Censored")</f>
        <v>0</v>
      </c>
      <c r="AE78" s="81">
        <f>COUNTIFS($E$5:$E$30,$E77,AE$5:AE$30,"Censored")</f>
        <v>0</v>
      </c>
      <c r="AF78" s="81">
        <f>COUNTIFS($E$5:$E$30,$E77,AF$5:AF$30,"Censored")</f>
        <v>0</v>
      </c>
      <c r="AG78" s="81">
        <f>COUNTIFS($E$5:$E$30,$E77,AG$5:AG$30,"Censored")</f>
        <v>0</v>
      </c>
      <c r="AH78" s="81">
        <f>COUNTIFS($E$5:$E$30,$E77,AH$5:AH$30,"Censored")</f>
        <v>0</v>
      </c>
      <c r="AI78" s="81">
        <f>COUNTIFS($E$5:$E$30,$E77,AI$5:AI$30,"Censored")</f>
        <v>0</v>
      </c>
      <c r="AJ78" s="81">
        <f>COUNTIFS($E$5:$E$30,$E77,AJ$5:AJ$30,"Censored")</f>
        <v>0</v>
      </c>
      <c r="AK78" s="81">
        <f>COUNTIFS($E$5:$E$30,$E77,AK$5:AK$30,"Censored")</f>
        <v>0</v>
      </c>
      <c r="AL78" s="81">
        <f>COUNTIFS($E$5:$E$30,$E77,AL$5:AL$30,"Censored")</f>
        <v>0</v>
      </c>
      <c r="AM78" s="81">
        <f>COUNTIFS($E$5:$E$30,$E77,AM$5:AM$30,"Censored")</f>
        <v>0</v>
      </c>
      <c r="AN78" s="81">
        <f>COUNTIFS($E$5:$E$30,$E77,AN$5:AN$30,"Censored")</f>
        <v>0</v>
      </c>
      <c r="AO78" s="81">
        <f>COUNTIFS($E$5:$E$30,$E77,AO$5:AO$30,"Censored")</f>
        <v>0</v>
      </c>
      <c r="AP78" s="81">
        <f>COUNTIFS($E$5:$E$30,$E77,AP$5:AP$30,"Censored")</f>
        <v>0</v>
      </c>
      <c r="AQ78" s="81">
        <f>COUNTIFS($E$5:$E$30,$E77,AQ$5:AQ$30,"Censored")</f>
        <v>0</v>
      </c>
      <c r="AR78" s="81">
        <f>COUNTIFS($E$5:$E$30,$E77,AR$5:AR$30,"Censored")</f>
        <v>0</v>
      </c>
      <c r="AS78" s="81">
        <f>COUNTIFS($E$5:$E$30,$E77,AS$5:AS$30,"Censored")</f>
        <v>0</v>
      </c>
      <c r="AT78" s="81">
        <f>COUNTIFS($E$5:$E$30,$E77,AT$5:AT$30,"Censored")</f>
        <v>0</v>
      </c>
      <c r="AU78" s="81">
        <f>COUNTIFS($E$5:$E$30,$E77,AU$5:AU$30,"Censored")</f>
        <v>0</v>
      </c>
      <c r="AV78" s="81">
        <f>COUNTIFS($E$5:$E$30,$E77,AV$5:AV$30,"Censored")</f>
        <v>0</v>
      </c>
      <c r="AW78" s="81">
        <f>COUNTIFS($E$5:$E$30,$E77,AW$5:AW$30,"Censored")</f>
        <v>0</v>
      </c>
      <c r="AX78" s="81">
        <f>COUNTIFS($E$5:$E$30,$E77,AX$5:AX$30,"Censored")</f>
        <v>0</v>
      </c>
      <c r="AY78" s="81">
        <f>COUNTIFS($E$5:$E$30,$E77,AY$5:AY$30,"Censored")</f>
        <v>0</v>
      </c>
      <c r="AZ78" s="81">
        <f>COUNTIFS($E$5:$E$30,$E77,AZ$5:AZ$30,"Censored")</f>
        <v>0</v>
      </c>
      <c r="BA78" s="81">
        <f>COUNTIFS($E$5:$E$30,$E77,BA$5:BA$30,"Censored")</f>
        <v>0</v>
      </c>
      <c r="BB78" s="76"/>
    </row>
    <row r="79" spans="1:54" ht="14.25" customHeight="1">
      <c r="A79" s="46"/>
      <c r="B79" s="45"/>
      <c r="C79" s="47"/>
      <c r="D79" s="45"/>
      <c r="E79" s="92"/>
      <c r="F79" s="71"/>
      <c r="G79" s="82"/>
      <c r="H79" s="93"/>
      <c r="I79" s="144" t="s">
        <v>53</v>
      </c>
      <c r="J79" s="74" t="e">
        <f>J77/(COUNTIFS($E$5:$E$30,$E77,J$5:J$30,"Alive")+COUNTIFS($E$5:$E$30,$E77,J$5:J$30,"Sacrificed")+COUNTIFS($E$5:$E$30,$E77,J$5:J$30,"Died"))</f>
        <v>#DIV/0!</v>
      </c>
      <c r="K79" s="74" t="e">
        <f>K77/(COUNTIFS($E$5:$E$30,$E77,K$5:K$30,"Alive")+COUNTIFS($E$5:$E$30,$E77,K$5:K$30,"Sacrificed")+COUNTIFS($E$5:$E$30,$E77,K$5:K$30,"Died"))*J79</f>
        <v>#DIV/0!</v>
      </c>
      <c r="L79" s="74" t="e">
        <f>L77/(COUNTIFS($E$5:$E$30,$E77,L$5:L$30,"Alive")+COUNTIFS($E$5:$E$30,$E77,L$5:L$30,"Sacrificed")+COUNTIFS($E$5:$E$30,$E77,L$5:L$30,"Died"))*K79</f>
        <v>#DIV/0!</v>
      </c>
      <c r="M79" s="74" t="e">
        <f>M77/(COUNTIFS($E$5:$E$30,$E77,M$5:M$30,"Alive")+COUNTIFS($E$5:$E$30,$E77,M$5:M$30,"Sacrificed")+COUNTIFS($E$5:$E$30,$E77,M$5:M$30,"Died"))*L79</f>
        <v>#DIV/0!</v>
      </c>
      <c r="N79" s="74" t="e">
        <f>N77/(COUNTIFS($E$5:$E$30,$E77,N$5:N$30,"Alive")+COUNTIFS($E$5:$E$30,$E77,N$5:N$30,"Sacrificed")+COUNTIFS($E$5:$E$30,$E77,N$5:N$30,"Died"))*M79</f>
        <v>#DIV/0!</v>
      </c>
      <c r="O79" s="74" t="e">
        <f>O77/(COUNTIFS($E$5:$E$30,$E77,O$5:O$30,"Alive")+COUNTIFS($E$5:$E$30,$E77,O$5:O$30,"Sacrificed")+COUNTIFS($E$5:$E$30,$E77,O$5:O$30,"Died"))*N79</f>
        <v>#DIV/0!</v>
      </c>
      <c r="P79" s="74" t="e">
        <f>P77/(COUNTIFS($E$5:$E$30,$E77,P$5:P$30,"Alive")+COUNTIFS($E$5:$E$30,$E77,P$5:P$30,"Sacrificed")+COUNTIFS($E$5:$E$30,$E77,P$5:P$30,"Died"))*O79</f>
        <v>#DIV/0!</v>
      </c>
      <c r="Q79" s="74" t="e">
        <f>Q77/(COUNTIFS($E$5:$E$30,$E77,Q$5:Q$30,"Alive")+COUNTIFS($E$5:$E$30,$E77,Q$5:Q$30,"Sacrificed")+COUNTIFS($E$5:$E$30,$E77,Q$5:Q$30,"Died"))*P79</f>
        <v>#DIV/0!</v>
      </c>
      <c r="R79" s="74" t="e">
        <f>R77/(COUNTIFS($E$5:$E$30,$E77,R$5:R$30,"Alive")+COUNTIFS($E$5:$E$30,$E77,R$5:R$30,"Sacrificed")+COUNTIFS($E$5:$E$30,$E77,R$5:R$30,"Died"))*Q79</f>
        <v>#DIV/0!</v>
      </c>
      <c r="S79" s="74" t="e">
        <f>S77/(COUNTIFS($E$5:$E$30,$E77,S$5:S$30,"Alive")+COUNTIFS($E$5:$E$30,$E77,S$5:S$30,"Sacrificed")+COUNTIFS($E$5:$E$30,$E77,S$5:S$30,"Died"))*R79</f>
        <v>#DIV/0!</v>
      </c>
      <c r="T79" s="74" t="e">
        <f>T77/(COUNTIFS($E$5:$E$30,$E77,T$5:T$30,"Alive")+COUNTIFS($E$5:$E$30,$E77,T$5:T$30,"Sacrificed")+COUNTIFS($E$5:$E$30,$E77,T$5:T$30,"Died"))*S79</f>
        <v>#DIV/0!</v>
      </c>
      <c r="U79" s="74" t="e">
        <f>U77/(COUNTIFS($E$5:$E$30,$E77,U$5:U$30,"Alive")+COUNTIFS($E$5:$E$30,$E77,U$5:U$30,"Sacrificed")+COUNTIFS($E$5:$E$30,$E77,U$5:U$30,"Died"))*T79</f>
        <v>#DIV/0!</v>
      </c>
      <c r="V79" s="74" t="e">
        <f>V77/(COUNTIFS($E$5:$E$30,$E77,V$5:V$30,"Alive")+COUNTIFS($E$5:$E$30,$E77,V$5:V$30,"Sacrificed")+COUNTIFS($E$5:$E$30,$E77,V$5:V$30,"Died"))*U79</f>
        <v>#DIV/0!</v>
      </c>
      <c r="W79" s="74" t="e">
        <f>W77/(COUNTIFS($E$5:$E$30,$E77,W$5:W$30,"Alive")+COUNTIFS($E$5:$E$30,$E77,W$5:W$30,"Sacrificed")+COUNTIFS($E$5:$E$30,$E77,W$5:W$30,"Died"))*V79</f>
        <v>#DIV/0!</v>
      </c>
      <c r="X79" s="74" t="e">
        <f>X77/(COUNTIFS($E$5:$E$30,$E77,X$5:X$30,"Alive")+COUNTIFS($E$5:$E$30,$E77,X$5:X$30,"Sacrificed")+COUNTIFS($E$5:$E$30,$E77,X$5:X$30,"Died"))*W79</f>
        <v>#DIV/0!</v>
      </c>
      <c r="Y79" s="74" t="e">
        <f>Y77/(COUNTIFS($E$5:$E$30,$E77,Y$5:Y$30,"Alive")+COUNTIFS($E$5:$E$30,$E77,Y$5:Y$30,"Sacrificed")+COUNTIFS($E$5:$E$30,$E77,Y$5:Y$30,"Died"))*X79</f>
        <v>#DIV/0!</v>
      </c>
      <c r="Z79" s="74" t="e">
        <f>Z77/(COUNTIFS($E$5:$E$30,$E77,Z$5:Z$30,"Alive")+COUNTIFS($E$5:$E$30,$E77,Z$5:Z$30,"Sacrificed")+COUNTIFS($E$5:$E$30,$E77,Z$5:Z$30,"Died"))*Y79</f>
        <v>#DIV/0!</v>
      </c>
      <c r="AA79" s="74" t="e">
        <f>AA77/(COUNTIFS($E$5:$E$30,$E77,AA$5:AA$30,"Alive")+COUNTIFS($E$5:$E$30,$E77,AA$5:AA$30,"Sacrificed")+COUNTIFS($E$5:$E$30,$E77,AA$5:AA$30,"Died"))*Z79</f>
        <v>#DIV/0!</v>
      </c>
      <c r="AB79" s="74" t="e">
        <f>AB77/(COUNTIFS($E$5:$E$30,$E77,AB$5:AB$30,"Alive")+COUNTIFS($E$5:$E$30,$E77,AB$5:AB$30,"Sacrificed")+COUNTIFS($E$5:$E$30,$E77,AB$5:AB$30,"Died"))*AA79</f>
        <v>#DIV/0!</v>
      </c>
      <c r="AC79" s="74" t="e">
        <f>AC77/(COUNTIFS($E$5:$E$30,$E77,AC$5:AC$30,"Alive")+COUNTIFS($E$5:$E$30,$E77,AC$5:AC$30,"Sacrificed")+COUNTIFS($E$5:$E$30,$E77,AC$5:AC$30,"Died"))*AB79</f>
        <v>#DIV/0!</v>
      </c>
      <c r="AD79" s="74" t="e">
        <f>AD77/(COUNTIFS($E$5:$E$30,$E77,AD$5:AD$30,"Alive")+COUNTIFS($E$5:$E$30,$E77,AD$5:AD$30,"Sacrificed")+COUNTIFS($E$5:$E$30,$E77,AD$5:AD$30,"Died"))*AC79</f>
        <v>#DIV/0!</v>
      </c>
      <c r="AE79" s="74" t="e">
        <f>AE77/(COUNTIFS($E$5:$E$30,$E77,AE$5:AE$30,"Alive")+COUNTIFS($E$5:$E$30,$E77,AE$5:AE$30,"Sacrificed")+COUNTIFS($E$5:$E$30,$E77,AE$5:AE$30,"Died"))*AD79</f>
        <v>#DIV/0!</v>
      </c>
      <c r="AF79" s="74" t="e">
        <f>AF77/(COUNTIFS($E$5:$E$30,$E77,AF$5:AF$30,"Alive")+COUNTIFS($E$5:$E$30,$E77,AF$5:AF$30,"Sacrificed")+COUNTIFS($E$5:$E$30,$E77,AF$5:AF$30,"Died"))*AE79</f>
        <v>#DIV/0!</v>
      </c>
      <c r="AG79" s="74" t="e">
        <f>AG77/(COUNTIFS($E$5:$E$30,$E77,AG$5:AG$30,"Alive")+COUNTIFS($E$5:$E$30,$E77,AG$5:AG$30,"Sacrificed")+COUNTIFS($E$5:$E$30,$E77,AG$5:AG$30,"Died"))*AF79</f>
        <v>#DIV/0!</v>
      </c>
      <c r="AH79" s="74" t="e">
        <f>AH77/(COUNTIFS($E$5:$E$30,$E77,AH$5:AH$30,"Alive")+COUNTIFS($E$5:$E$30,$E77,AH$5:AH$30,"Sacrificed")+COUNTIFS($E$5:$E$30,$E77,AH$5:AH$30,"Died"))*AG79</f>
        <v>#DIV/0!</v>
      </c>
      <c r="AI79" s="74" t="e">
        <f>AI77/(COUNTIFS($E$5:$E$30,$E77,AI$5:AI$30,"Alive")+COUNTIFS($E$5:$E$30,$E77,AI$5:AI$30,"Sacrificed")+COUNTIFS($E$5:$E$30,$E77,AI$5:AI$30,"Died"))*AH79</f>
        <v>#DIV/0!</v>
      </c>
      <c r="AJ79" s="74" t="e">
        <f>AJ77/(COUNTIFS($E$5:$E$30,$E77,AJ$5:AJ$30,"Alive")+COUNTIFS($E$5:$E$30,$E77,AJ$5:AJ$30,"Sacrificed")+COUNTIFS($E$5:$E$30,$E77,AJ$5:AJ$30,"Died"))*AI79</f>
        <v>#DIV/0!</v>
      </c>
      <c r="AK79" s="74" t="e">
        <f>AK77/(COUNTIFS($E$5:$E$30,$E77,AK$5:AK$30,"Alive")+COUNTIFS($E$5:$E$30,$E77,AK$5:AK$30,"Sacrificed")+COUNTIFS($E$5:$E$30,$E77,AK$5:AK$30,"Died"))*AJ79</f>
        <v>#DIV/0!</v>
      </c>
      <c r="AL79" s="74" t="e">
        <f>AL77/(COUNTIFS($E$5:$E$30,$E77,AL$5:AL$30,"Alive")+COUNTIFS($E$5:$E$30,$E77,AL$5:AL$30,"Sacrificed")+COUNTIFS($E$5:$E$30,$E77,AL$5:AL$30,"Died"))*AK79</f>
        <v>#DIV/0!</v>
      </c>
      <c r="AM79" s="74" t="e">
        <f>AM77/(COUNTIFS($E$5:$E$30,$E77,AM$5:AM$30,"Alive")+COUNTIFS($E$5:$E$30,$E77,AM$5:AM$30,"Sacrificed")+COUNTIFS($E$5:$E$30,$E77,AM$5:AM$30,"Died"))*AL79</f>
        <v>#DIV/0!</v>
      </c>
      <c r="AN79" s="74" t="e">
        <f>AN77/(COUNTIFS($E$5:$E$30,$E77,AN$5:AN$30,"Alive")+COUNTIFS($E$5:$E$30,$E77,AN$5:AN$30,"Sacrificed")+COUNTIFS($E$5:$E$30,$E77,AN$5:AN$30,"Died"))*AM79</f>
        <v>#DIV/0!</v>
      </c>
      <c r="AO79" s="74" t="e">
        <f>AO77/(COUNTIFS($E$5:$E$30,$E77,AO$5:AO$30,"Alive")+COUNTIFS($E$5:$E$30,$E77,AO$5:AO$30,"Sacrificed")+COUNTIFS($E$5:$E$30,$E77,AO$5:AO$30,"Died"))*AN79</f>
        <v>#DIV/0!</v>
      </c>
      <c r="AP79" s="74" t="e">
        <f>AP77/(COUNTIFS($E$5:$E$30,$E77,AP$5:AP$30,"Alive")+COUNTIFS($E$5:$E$30,$E77,AP$5:AP$30,"Sacrificed")+COUNTIFS($E$5:$E$30,$E77,AP$5:AP$30,"Died"))*AO79</f>
        <v>#DIV/0!</v>
      </c>
      <c r="AQ79" s="74" t="e">
        <f>AQ77/(COUNTIFS($E$5:$E$30,$E77,AQ$5:AQ$30,"Alive")+COUNTIFS($E$5:$E$30,$E77,AQ$5:AQ$30,"Sacrificed")+COUNTIFS($E$5:$E$30,$E77,AQ$5:AQ$30,"Died"))*AP79</f>
        <v>#DIV/0!</v>
      </c>
      <c r="AR79" s="74" t="e">
        <f>AR77/(COUNTIFS($E$5:$E$30,$E77,AR$5:AR$30,"Alive")+COUNTIFS($E$5:$E$30,$E77,AR$5:AR$30,"Sacrificed")+COUNTIFS($E$5:$E$30,$E77,AR$5:AR$30,"Died"))*AQ79</f>
        <v>#DIV/0!</v>
      </c>
      <c r="AS79" s="74" t="e">
        <f>AS77/(COUNTIFS($E$5:$E$30,$E77,AS$5:AS$30,"Alive")+COUNTIFS($E$5:$E$30,$E77,AS$5:AS$30,"Sacrificed")+COUNTIFS($E$5:$E$30,$E77,AS$5:AS$30,"Died"))*AR79</f>
        <v>#DIV/0!</v>
      </c>
      <c r="AT79" s="74" t="e">
        <f>AT77/(COUNTIFS($E$5:$E$30,$E77,AT$5:AT$30,"Alive")+COUNTIFS($E$5:$E$30,$E77,AT$5:AT$30,"Sacrificed")+COUNTIFS($E$5:$E$30,$E77,AT$5:AT$30,"Died"))*AS79</f>
        <v>#DIV/0!</v>
      </c>
      <c r="AU79" s="74" t="e">
        <f>AU77/(COUNTIFS($E$5:$E$30,$E77,AU$5:AU$30,"Alive")+COUNTIFS($E$5:$E$30,$E77,AU$5:AU$30,"Sacrificed")+COUNTIFS($E$5:$E$30,$E77,AU$5:AU$30,"Died"))*AT79</f>
        <v>#DIV/0!</v>
      </c>
      <c r="AV79" s="74" t="e">
        <f>AV77/(COUNTIFS($E$5:$E$30,$E77,AV$5:AV$30,"Alive")+COUNTIFS($E$5:$E$30,$E77,AV$5:AV$30,"Sacrificed")+COUNTIFS($E$5:$E$30,$E77,AV$5:AV$30,"Died"))*AU79</f>
        <v>#DIV/0!</v>
      </c>
      <c r="AW79" s="74" t="e">
        <f>AW77/(COUNTIFS($E$5:$E$30,$E77,AW$5:AW$30,"Alive")+COUNTIFS($E$5:$E$30,$E77,AW$5:AW$30,"Sacrificed")+COUNTIFS($E$5:$E$30,$E77,AW$5:AW$30,"Died"))*AV79</f>
        <v>#DIV/0!</v>
      </c>
      <c r="AX79" s="74" t="e">
        <f>AX77/(COUNTIFS($E$5:$E$30,$E77,AX$5:AX$30,"Alive")+COUNTIFS($E$5:$E$30,$E77,AX$5:AX$30,"Sacrificed")+COUNTIFS($E$5:$E$30,$E77,AX$5:AX$30,"Died"))*AW79</f>
        <v>#DIV/0!</v>
      </c>
      <c r="AY79" s="74" t="e">
        <f>AY77/(COUNTIFS($E$5:$E$30,$E77,AY$5:AY$30,"Alive")+COUNTIFS($E$5:$E$30,$E77,AY$5:AY$30,"Sacrificed")+COUNTIFS($E$5:$E$30,$E77,AY$5:AY$30,"Died"))*AX79</f>
        <v>#DIV/0!</v>
      </c>
      <c r="AZ79" s="74" t="e">
        <f>AZ77/(COUNTIFS($E$5:$E$30,$E77,AZ$5:AZ$30,"Alive")+COUNTIFS($E$5:$E$30,$E77,AZ$5:AZ$30,"Sacrificed")+COUNTIFS($E$5:$E$30,$E77,AZ$5:AZ$30,"Died"))*AY79</f>
        <v>#DIV/0!</v>
      </c>
      <c r="BA79" s="74" t="e">
        <f>BA77/(COUNTIFS($E$5:$E$30,$E77,BA$5:BA$30,"Alive")+COUNTIFS($E$5:$E$30,$E77,BA$5:BA$30,"Sacrificed")+COUNTIFS($E$5:$E$30,$E77,BA$5:BA$30,"Died"))*AZ79</f>
        <v>#DIV/0!</v>
      </c>
      <c r="BB79" s="3"/>
    </row>
    <row r="81" spans="1:54" ht="14.25" customHeight="1">
      <c r="A81" s="113"/>
      <c r="E81" s="118" t="str">
        <f>'FIG6 Groups'!C17</f>
        <v>Group 12</v>
      </c>
      <c r="H81" s="118" t="str">
        <f>E81</f>
        <v>Group 12</v>
      </c>
      <c r="I81" s="144" t="s">
        <v>52</v>
      </c>
      <c r="J81" s="78">
        <f>COUNTIFS($E$5:$E$30,$E81,J$5:J$30,"Alive")</f>
        <v>0</v>
      </c>
      <c r="K81" s="78">
        <f>COUNTIFS($E$5:$E$30,$E81,K$5:K$30,"Alive")</f>
        <v>0</v>
      </c>
      <c r="L81" s="78">
        <f>COUNTIFS($E$5:$E$30,$E81,L$5:L$30,"Alive")</f>
        <v>0</v>
      </c>
      <c r="M81" s="78">
        <f>COUNTIFS($E$5:$E$30,$E81,M$5:M$30,"Alive")</f>
        <v>0</v>
      </c>
      <c r="N81" s="78">
        <f>COUNTIFS($E$5:$E$30,$E81,N$5:N$30,"Alive")</f>
        <v>0</v>
      </c>
      <c r="O81" s="78">
        <f>COUNTIFS($E$5:$E$30,$E81,O$5:O$30,"Alive")</f>
        <v>0</v>
      </c>
      <c r="P81" s="78">
        <f>COUNTIFS($E$5:$E$30,$E81,P$5:P$30,"Alive")</f>
        <v>0</v>
      </c>
      <c r="Q81" s="78">
        <f>COUNTIFS($E$5:$E$30,$E81,Q$5:Q$30,"Alive")</f>
        <v>0</v>
      </c>
      <c r="R81" s="78">
        <f>COUNTIFS($E$5:$E$30,$E81,R$5:R$30,"Alive")</f>
        <v>0</v>
      </c>
      <c r="S81" s="78">
        <f>COUNTIFS($E$5:$E$30,$E81,S$5:S$30,"Alive")</f>
        <v>0</v>
      </c>
      <c r="T81" s="78">
        <f>COUNTIFS($E$5:$E$30,$E81,T$5:T$30,"Alive")</f>
        <v>0</v>
      </c>
      <c r="U81" s="78">
        <f>COUNTIFS($E$5:$E$30,$E81,U$5:U$30,"Alive")</f>
        <v>0</v>
      </c>
      <c r="V81" s="78">
        <f>COUNTIFS($E$5:$E$30,$E81,V$5:V$30,"Alive")</f>
        <v>0</v>
      </c>
      <c r="W81" s="78">
        <f>COUNTIFS($E$5:$E$30,$E81,W$5:W$30,"Alive")</f>
        <v>0</v>
      </c>
      <c r="X81" s="78">
        <f>COUNTIFS($E$5:$E$30,$E81,X$5:X$30,"Alive")</f>
        <v>0</v>
      </c>
      <c r="Y81" s="78">
        <f>COUNTIFS($E$5:$E$30,$E81,Y$5:Y$30,"Alive")</f>
        <v>0</v>
      </c>
      <c r="Z81" s="78">
        <f>COUNTIFS($E$5:$E$30,$E81,Z$5:Z$30,"Alive")</f>
        <v>0</v>
      </c>
      <c r="AA81" s="78">
        <f>COUNTIFS($E$5:$E$30,$E81,AA$5:AA$30,"Alive")</f>
        <v>0</v>
      </c>
      <c r="AB81" s="78">
        <f>COUNTIFS($E$5:$E$30,$E81,AB$5:AB$30,"Alive")</f>
        <v>0</v>
      </c>
      <c r="AC81" s="78">
        <f>COUNTIFS($E$5:$E$30,$E81,AC$5:AC$30,"Alive")</f>
        <v>0</v>
      </c>
      <c r="AD81" s="78">
        <f>COUNTIFS($E$5:$E$30,$E81,AD$5:AD$30,"Alive")</f>
        <v>0</v>
      </c>
      <c r="AE81" s="78">
        <f>COUNTIFS($E$5:$E$30,$E81,AE$5:AE$30,"Alive")</f>
        <v>0</v>
      </c>
      <c r="AF81" s="78">
        <f>COUNTIFS($E$5:$E$30,$E81,AF$5:AF$30,"Alive")</f>
        <v>0</v>
      </c>
      <c r="AG81" s="78">
        <f>COUNTIFS($E$5:$E$30,$E81,AG$5:AG$30,"Alive")</f>
        <v>0</v>
      </c>
      <c r="AH81" s="78">
        <f>COUNTIFS($E$5:$E$30,$E81,AH$5:AH$30,"Alive")</f>
        <v>0</v>
      </c>
      <c r="AI81" s="78">
        <f>COUNTIFS($E$5:$E$30,$E81,AI$5:AI$30,"Alive")</f>
        <v>0</v>
      </c>
      <c r="AJ81" s="78">
        <f>COUNTIFS($E$5:$E$30,$E81,AJ$5:AJ$30,"Alive")</f>
        <v>0</v>
      </c>
      <c r="AK81" s="78">
        <f>COUNTIFS($E$5:$E$30,$E81,AK$5:AK$30,"Alive")</f>
        <v>0</v>
      </c>
      <c r="AL81" s="78">
        <f>COUNTIFS($E$5:$E$30,$E81,AL$5:AL$30,"Alive")</f>
        <v>0</v>
      </c>
      <c r="AM81" s="78">
        <f>COUNTIFS($E$5:$E$30,$E81,AM$5:AM$30,"Alive")</f>
        <v>0</v>
      </c>
      <c r="AN81" s="78">
        <f>COUNTIFS($E$5:$E$30,$E81,AN$5:AN$30,"Alive")</f>
        <v>0</v>
      </c>
      <c r="AO81" s="78">
        <f>COUNTIFS($E$5:$E$30,$E81,AO$5:AO$30,"Alive")</f>
        <v>0</v>
      </c>
      <c r="AP81" s="78">
        <f>COUNTIFS($E$5:$E$30,$E81,AP$5:AP$30,"Alive")</f>
        <v>0</v>
      </c>
      <c r="AQ81" s="78">
        <f>COUNTIFS($E$5:$E$30,$E81,AQ$5:AQ$30,"Alive")</f>
        <v>0</v>
      </c>
      <c r="AR81" s="78">
        <f>COUNTIFS($E$5:$E$30,$E81,AR$5:AR$30,"Alive")</f>
        <v>0</v>
      </c>
      <c r="AS81" s="78">
        <f>COUNTIFS($E$5:$E$30,$E81,AS$5:AS$30,"Alive")</f>
        <v>0</v>
      </c>
      <c r="AT81" s="78">
        <f>COUNTIFS($E$5:$E$30,$E81,AT$5:AT$30,"Alive")</f>
        <v>0</v>
      </c>
      <c r="AU81" s="78">
        <f>COUNTIFS($E$5:$E$30,$E81,AU$5:AU$30,"Alive")</f>
        <v>0</v>
      </c>
      <c r="AV81" s="78">
        <f>COUNTIFS($E$5:$E$30,$E81,AV$5:AV$30,"Alive")</f>
        <v>0</v>
      </c>
      <c r="AW81" s="78">
        <f>COUNTIFS($E$5:$E$30,$E81,AW$5:AW$30,"Alive")</f>
        <v>0</v>
      </c>
      <c r="AX81" s="78">
        <f>COUNTIFS($E$5:$E$30,$E81,AX$5:AX$30,"Alive")</f>
        <v>0</v>
      </c>
      <c r="AY81" s="78">
        <f>COUNTIFS($E$5:$E$30,$E81,AY$5:AY$30,"Alive")</f>
        <v>0</v>
      </c>
      <c r="AZ81" s="78">
        <f>COUNTIFS($E$5:$E$30,$E81,AZ$5:AZ$30,"Alive")</f>
        <v>0</v>
      </c>
      <c r="BA81" s="78">
        <f>COUNTIFS($E$5:$E$30,$E81,BA$5:BA$30,"Alive")</f>
        <v>0</v>
      </c>
      <c r="BB81" s="76"/>
    </row>
    <row r="82" spans="1:54" ht="14.25" customHeight="1">
      <c r="A82" s="113"/>
      <c r="E82" s="93"/>
      <c r="H82" s="93"/>
      <c r="I82" s="144" t="s">
        <v>51</v>
      </c>
      <c r="J82" s="81">
        <f>COUNTIFS($E$5:$E$30,$E81,J$5:J$30,"Censored")</f>
        <v>0</v>
      </c>
      <c r="K82" s="81">
        <f>COUNTIFS($E$5:$E$30,$E81,K$5:K$30,"Censored")</f>
        <v>0</v>
      </c>
      <c r="L82" s="81">
        <f>COUNTIFS($E$5:$E$30,$E81,L$5:L$30,"Censored")</f>
        <v>0</v>
      </c>
      <c r="M82" s="81">
        <f>COUNTIFS($E$5:$E$30,$E81,M$5:M$30,"Censored")</f>
        <v>0</v>
      </c>
      <c r="N82" s="81">
        <f>COUNTIFS($E$5:$E$30,$E81,N$5:N$30,"Censored")</f>
        <v>0</v>
      </c>
      <c r="O82" s="81">
        <f>COUNTIFS($E$5:$E$30,$E81,O$5:O$30,"Censored")</f>
        <v>0</v>
      </c>
      <c r="P82" s="81">
        <f>COUNTIFS($E$5:$E$30,$E81,P$5:P$30,"Censored")</f>
        <v>0</v>
      </c>
      <c r="Q82" s="81">
        <f>COUNTIFS($E$5:$E$30,$E81,Q$5:Q$30,"Censored")</f>
        <v>0</v>
      </c>
      <c r="R82" s="81">
        <f>COUNTIFS($E$5:$E$30,$E81,R$5:R$30,"Censored")</f>
        <v>0</v>
      </c>
      <c r="S82" s="81">
        <f>COUNTIFS($E$5:$E$30,$E81,S$5:S$30,"Censored")</f>
        <v>0</v>
      </c>
      <c r="T82" s="81">
        <f>COUNTIFS($E$5:$E$30,$E81,T$5:T$30,"Censored")</f>
        <v>0</v>
      </c>
      <c r="U82" s="81">
        <f>COUNTIFS($E$5:$E$30,$E81,U$5:U$30,"Censored")</f>
        <v>0</v>
      </c>
      <c r="V82" s="81">
        <f>COUNTIFS($E$5:$E$30,$E81,V$5:V$30,"Censored")</f>
        <v>0</v>
      </c>
      <c r="W82" s="81">
        <f>COUNTIFS($E$5:$E$30,$E81,W$5:W$30,"Censored")</f>
        <v>0</v>
      </c>
      <c r="X82" s="81">
        <f>COUNTIFS($E$5:$E$30,$E81,X$5:X$30,"Censored")</f>
        <v>0</v>
      </c>
      <c r="Y82" s="81">
        <f>COUNTIFS($E$5:$E$30,$E81,Y$5:Y$30,"Censored")</f>
        <v>0</v>
      </c>
      <c r="Z82" s="81">
        <f>COUNTIFS($E$5:$E$30,$E81,Z$5:Z$30,"Censored")</f>
        <v>0</v>
      </c>
      <c r="AA82" s="81">
        <f>COUNTIFS($E$5:$E$30,$E81,AA$5:AA$30,"Censored")</f>
        <v>0</v>
      </c>
      <c r="AB82" s="81">
        <f>COUNTIFS($E$5:$E$30,$E81,AB$5:AB$30,"Censored")</f>
        <v>0</v>
      </c>
      <c r="AC82" s="81">
        <f>COUNTIFS($E$5:$E$30,$E81,AC$5:AC$30,"Censored")</f>
        <v>0</v>
      </c>
      <c r="AD82" s="81">
        <f>COUNTIFS($E$5:$E$30,$E81,AD$5:AD$30,"Censored")</f>
        <v>0</v>
      </c>
      <c r="AE82" s="81">
        <f>COUNTIFS($E$5:$E$30,$E81,AE$5:AE$30,"Censored")</f>
        <v>0</v>
      </c>
      <c r="AF82" s="81">
        <f>COUNTIFS($E$5:$E$30,$E81,AF$5:AF$30,"Censored")</f>
        <v>0</v>
      </c>
      <c r="AG82" s="81">
        <f>COUNTIFS($E$5:$E$30,$E81,AG$5:AG$30,"Censored")</f>
        <v>0</v>
      </c>
      <c r="AH82" s="81">
        <f>COUNTIFS($E$5:$E$30,$E81,AH$5:AH$30,"Censored")</f>
        <v>0</v>
      </c>
      <c r="AI82" s="81">
        <f>COUNTIFS($E$5:$E$30,$E81,AI$5:AI$30,"Censored")</f>
        <v>0</v>
      </c>
      <c r="AJ82" s="81">
        <f>COUNTIFS($E$5:$E$30,$E81,AJ$5:AJ$30,"Censored")</f>
        <v>0</v>
      </c>
      <c r="AK82" s="81">
        <f>COUNTIFS($E$5:$E$30,$E81,AK$5:AK$30,"Censored")</f>
        <v>0</v>
      </c>
      <c r="AL82" s="81">
        <f>COUNTIFS($E$5:$E$30,$E81,AL$5:AL$30,"Censored")</f>
        <v>0</v>
      </c>
      <c r="AM82" s="81">
        <f>COUNTIFS($E$5:$E$30,$E81,AM$5:AM$30,"Censored")</f>
        <v>0</v>
      </c>
      <c r="AN82" s="81">
        <f>COUNTIFS($E$5:$E$30,$E81,AN$5:AN$30,"Censored")</f>
        <v>0</v>
      </c>
      <c r="AO82" s="81">
        <f>COUNTIFS($E$5:$E$30,$E81,AO$5:AO$30,"Censored")</f>
        <v>0</v>
      </c>
      <c r="AP82" s="81">
        <f>COUNTIFS($E$5:$E$30,$E81,AP$5:AP$30,"Censored")</f>
        <v>0</v>
      </c>
      <c r="AQ82" s="81">
        <f>COUNTIFS($E$5:$E$30,$E81,AQ$5:AQ$30,"Censored")</f>
        <v>0</v>
      </c>
      <c r="AR82" s="81">
        <f>COUNTIFS($E$5:$E$30,$E81,AR$5:AR$30,"Censored")</f>
        <v>0</v>
      </c>
      <c r="AS82" s="81">
        <f>COUNTIFS($E$5:$E$30,$E81,AS$5:AS$30,"Censored")</f>
        <v>0</v>
      </c>
      <c r="AT82" s="81">
        <f>COUNTIFS($E$5:$E$30,$E81,AT$5:AT$30,"Censored")</f>
        <v>0</v>
      </c>
      <c r="AU82" s="81">
        <f>COUNTIFS($E$5:$E$30,$E81,AU$5:AU$30,"Censored")</f>
        <v>0</v>
      </c>
      <c r="AV82" s="81">
        <f>COUNTIFS($E$5:$E$30,$E81,AV$5:AV$30,"Censored")</f>
        <v>0</v>
      </c>
      <c r="AW82" s="81">
        <f>COUNTIFS($E$5:$E$30,$E81,AW$5:AW$30,"Censored")</f>
        <v>0</v>
      </c>
      <c r="AX82" s="81">
        <f>COUNTIFS($E$5:$E$30,$E81,AX$5:AX$30,"Censored")</f>
        <v>0</v>
      </c>
      <c r="AY82" s="81">
        <f>COUNTIFS($E$5:$E$30,$E81,AY$5:AY$30,"Censored")</f>
        <v>0</v>
      </c>
      <c r="AZ82" s="81">
        <f>COUNTIFS($E$5:$E$30,$E81,AZ$5:AZ$30,"Censored")</f>
        <v>0</v>
      </c>
      <c r="BA82" s="81">
        <f>COUNTIFS($E$5:$E$30,$E81,BA$5:BA$30,"Censored")</f>
        <v>0</v>
      </c>
      <c r="BB82" s="76"/>
    </row>
    <row r="83" spans="1:54" ht="14.25" customHeight="1">
      <c r="A83" s="46"/>
      <c r="B83" s="45"/>
      <c r="C83" s="47"/>
      <c r="D83" s="45"/>
      <c r="E83" s="92"/>
      <c r="F83" s="71"/>
      <c r="G83" s="82"/>
      <c r="H83" s="93"/>
      <c r="I83" s="144" t="s">
        <v>53</v>
      </c>
      <c r="J83" s="74" t="e">
        <f>J81/(COUNTIFS($E$5:$E$30,$E81,J$5:J$30,"Alive")+COUNTIFS($E$5:$E$30,$E81,J$5:J$30,"Sacrificed")+COUNTIFS($E$5:$E$30,$E81,J$5:J$30,"Died"))</f>
        <v>#DIV/0!</v>
      </c>
      <c r="K83" s="74" t="e">
        <f>K81/(COUNTIFS($E$5:$E$30,$E81,K$5:K$30,"Alive")+COUNTIFS($E$5:$E$30,$E81,K$5:K$30,"Sacrificed")+COUNTIFS($E$5:$E$30,$E81,K$5:K$30,"Died"))*J83</f>
        <v>#DIV/0!</v>
      </c>
      <c r="L83" s="74" t="e">
        <f>L81/(COUNTIFS($E$5:$E$30,$E81,L$5:L$30,"Alive")+COUNTIFS($E$5:$E$30,$E81,L$5:L$30,"Sacrificed")+COUNTIFS($E$5:$E$30,$E81,L$5:L$30,"Died"))*K83</f>
        <v>#DIV/0!</v>
      </c>
      <c r="M83" s="74" t="e">
        <f>M81/(COUNTIFS($E$5:$E$30,$E81,M$5:M$30,"Alive")+COUNTIFS($E$5:$E$30,$E81,M$5:M$30,"Sacrificed")+COUNTIFS($E$5:$E$30,$E81,M$5:M$30,"Died"))*L83</f>
        <v>#DIV/0!</v>
      </c>
      <c r="N83" s="74" t="e">
        <f>N81/(COUNTIFS($E$5:$E$30,$E81,N$5:N$30,"Alive")+COUNTIFS($E$5:$E$30,$E81,N$5:N$30,"Sacrificed")+COUNTIFS($E$5:$E$30,$E81,N$5:N$30,"Died"))*M83</f>
        <v>#DIV/0!</v>
      </c>
      <c r="O83" s="74" t="e">
        <f>O81/(COUNTIFS($E$5:$E$30,$E81,O$5:O$30,"Alive")+COUNTIFS($E$5:$E$30,$E81,O$5:O$30,"Sacrificed")+COUNTIFS($E$5:$E$30,$E81,O$5:O$30,"Died"))*N83</f>
        <v>#DIV/0!</v>
      </c>
      <c r="P83" s="74" t="e">
        <f>P81/(COUNTIFS($E$5:$E$30,$E81,P$5:P$30,"Alive")+COUNTIFS($E$5:$E$30,$E81,P$5:P$30,"Sacrificed")+COUNTIFS($E$5:$E$30,$E81,P$5:P$30,"Died"))*O83</f>
        <v>#DIV/0!</v>
      </c>
      <c r="Q83" s="74" t="e">
        <f>Q81/(COUNTIFS($E$5:$E$30,$E81,Q$5:Q$30,"Alive")+COUNTIFS($E$5:$E$30,$E81,Q$5:Q$30,"Sacrificed")+COUNTIFS($E$5:$E$30,$E81,Q$5:Q$30,"Died"))*P83</f>
        <v>#DIV/0!</v>
      </c>
      <c r="R83" s="74" t="e">
        <f>R81/(COUNTIFS($E$5:$E$30,$E81,R$5:R$30,"Alive")+COUNTIFS($E$5:$E$30,$E81,R$5:R$30,"Sacrificed")+COUNTIFS($E$5:$E$30,$E81,R$5:R$30,"Died"))*Q83</f>
        <v>#DIV/0!</v>
      </c>
      <c r="S83" s="74" t="e">
        <f>S81/(COUNTIFS($E$5:$E$30,$E81,S$5:S$30,"Alive")+COUNTIFS($E$5:$E$30,$E81,S$5:S$30,"Sacrificed")+COUNTIFS($E$5:$E$30,$E81,S$5:S$30,"Died"))*R83</f>
        <v>#DIV/0!</v>
      </c>
      <c r="T83" s="74" t="e">
        <f>T81/(COUNTIFS($E$5:$E$30,$E81,T$5:T$30,"Alive")+COUNTIFS($E$5:$E$30,$E81,T$5:T$30,"Sacrificed")+COUNTIFS($E$5:$E$30,$E81,T$5:T$30,"Died"))*S83</f>
        <v>#DIV/0!</v>
      </c>
      <c r="U83" s="74" t="e">
        <f>U81/(COUNTIFS($E$5:$E$30,$E81,U$5:U$30,"Alive")+COUNTIFS($E$5:$E$30,$E81,U$5:U$30,"Sacrificed")+COUNTIFS($E$5:$E$30,$E81,U$5:U$30,"Died"))*T83</f>
        <v>#DIV/0!</v>
      </c>
      <c r="V83" s="74" t="e">
        <f>V81/(COUNTIFS($E$5:$E$30,$E81,V$5:V$30,"Alive")+COUNTIFS($E$5:$E$30,$E81,V$5:V$30,"Sacrificed")+COUNTIFS($E$5:$E$30,$E81,V$5:V$30,"Died"))*U83</f>
        <v>#DIV/0!</v>
      </c>
      <c r="W83" s="74" t="e">
        <f>W81/(COUNTIFS($E$5:$E$30,$E81,W$5:W$30,"Alive")+COUNTIFS($E$5:$E$30,$E81,W$5:W$30,"Sacrificed")+COUNTIFS($E$5:$E$30,$E81,W$5:W$30,"Died"))*V83</f>
        <v>#DIV/0!</v>
      </c>
      <c r="X83" s="74" t="e">
        <f>X81/(COUNTIFS($E$5:$E$30,$E81,X$5:X$30,"Alive")+COUNTIFS($E$5:$E$30,$E81,X$5:X$30,"Sacrificed")+COUNTIFS($E$5:$E$30,$E81,X$5:X$30,"Died"))*W83</f>
        <v>#DIV/0!</v>
      </c>
      <c r="Y83" s="74" t="e">
        <f>Y81/(COUNTIFS($E$5:$E$30,$E81,Y$5:Y$30,"Alive")+COUNTIFS($E$5:$E$30,$E81,Y$5:Y$30,"Sacrificed")+COUNTIFS($E$5:$E$30,$E81,Y$5:Y$30,"Died"))*X83</f>
        <v>#DIV/0!</v>
      </c>
      <c r="Z83" s="74" t="e">
        <f>Z81/(COUNTIFS($E$5:$E$30,$E81,Z$5:Z$30,"Alive")+COUNTIFS($E$5:$E$30,$E81,Z$5:Z$30,"Sacrificed")+COUNTIFS($E$5:$E$30,$E81,Z$5:Z$30,"Died"))*Y83</f>
        <v>#DIV/0!</v>
      </c>
      <c r="AA83" s="74" t="e">
        <f>AA81/(COUNTIFS($E$5:$E$30,$E81,AA$5:AA$30,"Alive")+COUNTIFS($E$5:$E$30,$E81,AA$5:AA$30,"Sacrificed")+COUNTIFS($E$5:$E$30,$E81,AA$5:AA$30,"Died"))*Z83</f>
        <v>#DIV/0!</v>
      </c>
      <c r="AB83" s="74" t="e">
        <f>AB81/(COUNTIFS($E$5:$E$30,$E81,AB$5:AB$30,"Alive")+COUNTIFS($E$5:$E$30,$E81,AB$5:AB$30,"Sacrificed")+COUNTIFS($E$5:$E$30,$E81,AB$5:AB$30,"Died"))*AA83</f>
        <v>#DIV/0!</v>
      </c>
      <c r="AC83" s="74" t="e">
        <f>AC81/(COUNTIFS($E$5:$E$30,$E81,AC$5:AC$30,"Alive")+COUNTIFS($E$5:$E$30,$E81,AC$5:AC$30,"Sacrificed")+COUNTIFS($E$5:$E$30,$E81,AC$5:AC$30,"Died"))*AB83</f>
        <v>#DIV/0!</v>
      </c>
      <c r="AD83" s="74" t="e">
        <f>AD81/(COUNTIFS($E$5:$E$30,$E81,AD$5:AD$30,"Alive")+COUNTIFS($E$5:$E$30,$E81,AD$5:AD$30,"Sacrificed")+COUNTIFS($E$5:$E$30,$E81,AD$5:AD$30,"Died"))*AC83</f>
        <v>#DIV/0!</v>
      </c>
      <c r="AE83" s="74" t="e">
        <f>AE81/(COUNTIFS($E$5:$E$30,$E81,AE$5:AE$30,"Alive")+COUNTIFS($E$5:$E$30,$E81,AE$5:AE$30,"Sacrificed")+COUNTIFS($E$5:$E$30,$E81,AE$5:AE$30,"Died"))*AD83</f>
        <v>#DIV/0!</v>
      </c>
      <c r="AF83" s="74" t="e">
        <f>AF81/(COUNTIFS($E$5:$E$30,$E81,AF$5:AF$30,"Alive")+COUNTIFS($E$5:$E$30,$E81,AF$5:AF$30,"Sacrificed")+COUNTIFS($E$5:$E$30,$E81,AF$5:AF$30,"Died"))*AE83</f>
        <v>#DIV/0!</v>
      </c>
      <c r="AG83" s="74" t="e">
        <f>AG81/(COUNTIFS($E$5:$E$30,$E81,AG$5:AG$30,"Alive")+COUNTIFS($E$5:$E$30,$E81,AG$5:AG$30,"Sacrificed")+COUNTIFS($E$5:$E$30,$E81,AG$5:AG$30,"Died"))*AF83</f>
        <v>#DIV/0!</v>
      </c>
      <c r="AH83" s="74" t="e">
        <f>AH81/(COUNTIFS($E$5:$E$30,$E81,AH$5:AH$30,"Alive")+COUNTIFS($E$5:$E$30,$E81,AH$5:AH$30,"Sacrificed")+COUNTIFS($E$5:$E$30,$E81,AH$5:AH$30,"Died"))*AG83</f>
        <v>#DIV/0!</v>
      </c>
      <c r="AI83" s="74" t="e">
        <f>AI81/(COUNTIFS($E$5:$E$30,$E81,AI$5:AI$30,"Alive")+COUNTIFS($E$5:$E$30,$E81,AI$5:AI$30,"Sacrificed")+COUNTIFS($E$5:$E$30,$E81,AI$5:AI$30,"Died"))*AH83</f>
        <v>#DIV/0!</v>
      </c>
      <c r="AJ83" s="74" t="e">
        <f>AJ81/(COUNTIFS($E$5:$E$30,$E81,AJ$5:AJ$30,"Alive")+COUNTIFS($E$5:$E$30,$E81,AJ$5:AJ$30,"Sacrificed")+COUNTIFS($E$5:$E$30,$E81,AJ$5:AJ$30,"Died"))*AI83</f>
        <v>#DIV/0!</v>
      </c>
      <c r="AK83" s="74" t="e">
        <f>AK81/(COUNTIFS($E$5:$E$30,$E81,AK$5:AK$30,"Alive")+COUNTIFS($E$5:$E$30,$E81,AK$5:AK$30,"Sacrificed")+COUNTIFS($E$5:$E$30,$E81,AK$5:AK$30,"Died"))*AJ83</f>
        <v>#DIV/0!</v>
      </c>
      <c r="AL83" s="74" t="e">
        <f>AL81/(COUNTIFS($E$5:$E$30,$E81,AL$5:AL$30,"Alive")+COUNTIFS($E$5:$E$30,$E81,AL$5:AL$30,"Sacrificed")+COUNTIFS($E$5:$E$30,$E81,AL$5:AL$30,"Died"))*AK83</f>
        <v>#DIV/0!</v>
      </c>
      <c r="AM83" s="74" t="e">
        <f>AM81/(COUNTIFS($E$5:$E$30,$E81,AM$5:AM$30,"Alive")+COUNTIFS($E$5:$E$30,$E81,AM$5:AM$30,"Sacrificed")+COUNTIFS($E$5:$E$30,$E81,AM$5:AM$30,"Died"))*AL83</f>
        <v>#DIV/0!</v>
      </c>
      <c r="AN83" s="74" t="e">
        <f>AN81/(COUNTIFS($E$5:$E$30,$E81,AN$5:AN$30,"Alive")+COUNTIFS($E$5:$E$30,$E81,AN$5:AN$30,"Sacrificed")+COUNTIFS($E$5:$E$30,$E81,AN$5:AN$30,"Died"))*AM83</f>
        <v>#DIV/0!</v>
      </c>
      <c r="AO83" s="74" t="e">
        <f>AO81/(COUNTIFS($E$5:$E$30,$E81,AO$5:AO$30,"Alive")+COUNTIFS($E$5:$E$30,$E81,AO$5:AO$30,"Sacrificed")+COUNTIFS($E$5:$E$30,$E81,AO$5:AO$30,"Died"))*AN83</f>
        <v>#DIV/0!</v>
      </c>
      <c r="AP83" s="74" t="e">
        <f>AP81/(COUNTIFS($E$5:$E$30,$E81,AP$5:AP$30,"Alive")+COUNTIFS($E$5:$E$30,$E81,AP$5:AP$30,"Sacrificed")+COUNTIFS($E$5:$E$30,$E81,AP$5:AP$30,"Died"))*AO83</f>
        <v>#DIV/0!</v>
      </c>
      <c r="AQ83" s="74" t="e">
        <f>AQ81/(COUNTIFS($E$5:$E$30,$E81,AQ$5:AQ$30,"Alive")+COUNTIFS($E$5:$E$30,$E81,AQ$5:AQ$30,"Sacrificed")+COUNTIFS($E$5:$E$30,$E81,AQ$5:AQ$30,"Died"))*AP83</f>
        <v>#DIV/0!</v>
      </c>
      <c r="AR83" s="74" t="e">
        <f>AR81/(COUNTIFS($E$5:$E$30,$E81,AR$5:AR$30,"Alive")+COUNTIFS($E$5:$E$30,$E81,AR$5:AR$30,"Sacrificed")+COUNTIFS($E$5:$E$30,$E81,AR$5:AR$30,"Died"))*AQ83</f>
        <v>#DIV/0!</v>
      </c>
      <c r="AS83" s="74" t="e">
        <f>AS81/(COUNTIFS($E$5:$E$30,$E81,AS$5:AS$30,"Alive")+COUNTIFS($E$5:$E$30,$E81,AS$5:AS$30,"Sacrificed")+COUNTIFS($E$5:$E$30,$E81,AS$5:AS$30,"Died"))*AR83</f>
        <v>#DIV/0!</v>
      </c>
      <c r="AT83" s="74" t="e">
        <f>AT81/(COUNTIFS($E$5:$E$30,$E81,AT$5:AT$30,"Alive")+COUNTIFS($E$5:$E$30,$E81,AT$5:AT$30,"Sacrificed")+COUNTIFS($E$5:$E$30,$E81,AT$5:AT$30,"Died"))*AS83</f>
        <v>#DIV/0!</v>
      </c>
      <c r="AU83" s="74" t="e">
        <f>AU81/(COUNTIFS($E$5:$E$30,$E81,AU$5:AU$30,"Alive")+COUNTIFS($E$5:$E$30,$E81,AU$5:AU$30,"Sacrificed")+COUNTIFS($E$5:$E$30,$E81,AU$5:AU$30,"Died"))*AT83</f>
        <v>#DIV/0!</v>
      </c>
      <c r="AV83" s="74" t="e">
        <f>AV81/(COUNTIFS($E$5:$E$30,$E81,AV$5:AV$30,"Alive")+COUNTIFS($E$5:$E$30,$E81,AV$5:AV$30,"Sacrificed")+COUNTIFS($E$5:$E$30,$E81,AV$5:AV$30,"Died"))*AU83</f>
        <v>#DIV/0!</v>
      </c>
      <c r="AW83" s="74" t="e">
        <f>AW81/(COUNTIFS($E$5:$E$30,$E81,AW$5:AW$30,"Alive")+COUNTIFS($E$5:$E$30,$E81,AW$5:AW$30,"Sacrificed")+COUNTIFS($E$5:$E$30,$E81,AW$5:AW$30,"Died"))*AV83</f>
        <v>#DIV/0!</v>
      </c>
      <c r="AX83" s="74" t="e">
        <f>AX81/(COUNTIFS($E$5:$E$30,$E81,AX$5:AX$30,"Alive")+COUNTIFS($E$5:$E$30,$E81,AX$5:AX$30,"Sacrificed")+COUNTIFS($E$5:$E$30,$E81,AX$5:AX$30,"Died"))*AW83</f>
        <v>#DIV/0!</v>
      </c>
      <c r="AY83" s="74" t="e">
        <f>AY81/(COUNTIFS($E$5:$E$30,$E81,AY$5:AY$30,"Alive")+COUNTIFS($E$5:$E$30,$E81,AY$5:AY$30,"Sacrificed")+COUNTIFS($E$5:$E$30,$E81,AY$5:AY$30,"Died"))*AX83</f>
        <v>#DIV/0!</v>
      </c>
      <c r="AZ83" s="74" t="e">
        <f>AZ81/(COUNTIFS($E$5:$E$30,$E81,AZ$5:AZ$30,"Alive")+COUNTIFS($E$5:$E$30,$E81,AZ$5:AZ$30,"Sacrificed")+COUNTIFS($E$5:$E$30,$E81,AZ$5:AZ$30,"Died"))*AY83</f>
        <v>#DIV/0!</v>
      </c>
      <c r="BA83" s="74" t="e">
        <f>BA81/(COUNTIFS($E$5:$E$30,$E81,BA$5:BA$30,"Alive")+COUNTIFS($E$5:$E$30,$E81,BA$5:BA$30,"Sacrificed")+COUNTIFS($E$5:$E$30,$E81,BA$5:BA$30,"Died"))*AZ83</f>
        <v>#DIV/0!</v>
      </c>
      <c r="BB83" s="3"/>
    </row>
    <row r="85" spans="1:54" ht="14.25" customHeight="1">
      <c r="A85" s="113"/>
      <c r="E85" s="118" t="str">
        <f>'FIG6 Groups'!C18</f>
        <v>Group 13</v>
      </c>
      <c r="H85" s="118" t="str">
        <f>E85</f>
        <v>Group 13</v>
      </c>
      <c r="I85" s="144" t="s">
        <v>52</v>
      </c>
      <c r="J85" s="78">
        <f>COUNTIFS($E$5:$E$30,$E85,J$5:J$30,"Alive")</f>
        <v>0</v>
      </c>
      <c r="K85" s="78">
        <f>COUNTIFS($E$5:$E$30,$E85,K$5:K$30,"Alive")</f>
        <v>0</v>
      </c>
      <c r="L85" s="78">
        <f>COUNTIFS($E$5:$E$30,$E85,L$5:L$30,"Alive")</f>
        <v>0</v>
      </c>
      <c r="M85" s="78">
        <f>COUNTIFS($E$5:$E$30,$E85,M$5:M$30,"Alive")</f>
        <v>0</v>
      </c>
      <c r="N85" s="78">
        <f>COUNTIFS($E$5:$E$30,$E85,N$5:N$30,"Alive")</f>
        <v>0</v>
      </c>
      <c r="O85" s="78">
        <f>COUNTIFS($E$5:$E$30,$E85,O$5:O$30,"Alive")</f>
        <v>0</v>
      </c>
      <c r="P85" s="78">
        <f>COUNTIFS($E$5:$E$30,$E85,P$5:P$30,"Alive")</f>
        <v>0</v>
      </c>
      <c r="Q85" s="78">
        <f>COUNTIFS($E$5:$E$30,$E85,Q$5:Q$30,"Alive")</f>
        <v>0</v>
      </c>
      <c r="R85" s="78">
        <f>COUNTIFS($E$5:$E$30,$E85,R$5:R$30,"Alive")</f>
        <v>0</v>
      </c>
      <c r="S85" s="78">
        <f>COUNTIFS($E$5:$E$30,$E85,S$5:S$30,"Alive")</f>
        <v>0</v>
      </c>
      <c r="T85" s="78">
        <f>COUNTIFS($E$5:$E$30,$E85,T$5:T$30,"Alive")</f>
        <v>0</v>
      </c>
      <c r="U85" s="78">
        <f>COUNTIFS($E$5:$E$30,$E85,U$5:U$30,"Alive")</f>
        <v>0</v>
      </c>
      <c r="V85" s="78">
        <f>COUNTIFS($E$5:$E$30,$E85,V$5:V$30,"Alive")</f>
        <v>0</v>
      </c>
      <c r="W85" s="78">
        <f>COUNTIFS($E$5:$E$30,$E85,W$5:W$30,"Alive")</f>
        <v>0</v>
      </c>
      <c r="X85" s="78">
        <f>COUNTIFS($E$5:$E$30,$E85,X$5:X$30,"Alive")</f>
        <v>0</v>
      </c>
      <c r="Y85" s="78">
        <f>COUNTIFS($E$5:$E$30,$E85,Y$5:Y$30,"Alive")</f>
        <v>0</v>
      </c>
      <c r="Z85" s="78">
        <f>COUNTIFS($E$5:$E$30,$E85,Z$5:Z$30,"Alive")</f>
        <v>0</v>
      </c>
      <c r="AA85" s="78">
        <f>COUNTIFS($E$5:$E$30,$E85,AA$5:AA$30,"Alive")</f>
        <v>0</v>
      </c>
      <c r="AB85" s="78">
        <f>COUNTIFS($E$5:$E$30,$E85,AB$5:AB$30,"Alive")</f>
        <v>0</v>
      </c>
      <c r="AC85" s="78">
        <f>COUNTIFS($E$5:$E$30,$E85,AC$5:AC$30,"Alive")</f>
        <v>0</v>
      </c>
      <c r="AD85" s="78">
        <f>COUNTIFS($E$5:$E$30,$E85,AD$5:AD$30,"Alive")</f>
        <v>0</v>
      </c>
      <c r="AE85" s="78">
        <f>COUNTIFS($E$5:$E$30,$E85,AE$5:AE$30,"Alive")</f>
        <v>0</v>
      </c>
      <c r="AF85" s="78">
        <f>COUNTIFS($E$5:$E$30,$E85,AF$5:AF$30,"Alive")</f>
        <v>0</v>
      </c>
      <c r="AG85" s="78">
        <f>COUNTIFS($E$5:$E$30,$E85,AG$5:AG$30,"Alive")</f>
        <v>0</v>
      </c>
      <c r="AH85" s="78">
        <f>COUNTIFS($E$5:$E$30,$E85,AH$5:AH$30,"Alive")</f>
        <v>0</v>
      </c>
      <c r="AI85" s="78">
        <f>COUNTIFS($E$5:$E$30,$E85,AI$5:AI$30,"Alive")</f>
        <v>0</v>
      </c>
      <c r="AJ85" s="78">
        <f>COUNTIFS($E$5:$E$30,$E85,AJ$5:AJ$30,"Alive")</f>
        <v>0</v>
      </c>
      <c r="AK85" s="78">
        <f>COUNTIFS($E$5:$E$30,$E85,AK$5:AK$30,"Alive")</f>
        <v>0</v>
      </c>
      <c r="AL85" s="78">
        <f>COUNTIFS($E$5:$E$30,$E85,AL$5:AL$30,"Alive")</f>
        <v>0</v>
      </c>
      <c r="AM85" s="78">
        <f>COUNTIFS($E$5:$E$30,$E85,AM$5:AM$30,"Alive")</f>
        <v>0</v>
      </c>
      <c r="AN85" s="78">
        <f>COUNTIFS($E$5:$E$30,$E85,AN$5:AN$30,"Alive")</f>
        <v>0</v>
      </c>
      <c r="AO85" s="78">
        <f>COUNTIFS($E$5:$E$30,$E85,AO$5:AO$30,"Alive")</f>
        <v>0</v>
      </c>
      <c r="AP85" s="78">
        <f>COUNTIFS($E$5:$E$30,$E85,AP$5:AP$30,"Alive")</f>
        <v>0</v>
      </c>
      <c r="AQ85" s="78">
        <f>COUNTIFS($E$5:$E$30,$E85,AQ$5:AQ$30,"Alive")</f>
        <v>0</v>
      </c>
      <c r="AR85" s="78">
        <f>COUNTIFS($E$5:$E$30,$E85,AR$5:AR$30,"Alive")</f>
        <v>0</v>
      </c>
      <c r="AS85" s="78">
        <f>COUNTIFS($E$5:$E$30,$E85,AS$5:AS$30,"Alive")</f>
        <v>0</v>
      </c>
      <c r="AT85" s="78">
        <f>COUNTIFS($E$5:$E$30,$E85,AT$5:AT$30,"Alive")</f>
        <v>0</v>
      </c>
      <c r="AU85" s="78">
        <f>COUNTIFS($E$5:$E$30,$E85,AU$5:AU$30,"Alive")</f>
        <v>0</v>
      </c>
      <c r="AV85" s="78">
        <f>COUNTIFS($E$5:$E$30,$E85,AV$5:AV$30,"Alive")</f>
        <v>0</v>
      </c>
      <c r="AW85" s="78">
        <f>COUNTIFS($E$5:$E$30,$E85,AW$5:AW$30,"Alive")</f>
        <v>0</v>
      </c>
      <c r="AX85" s="78">
        <f>COUNTIFS($E$5:$E$30,$E85,AX$5:AX$30,"Alive")</f>
        <v>0</v>
      </c>
      <c r="AY85" s="78">
        <f>COUNTIFS($E$5:$E$30,$E85,AY$5:AY$30,"Alive")</f>
        <v>0</v>
      </c>
      <c r="AZ85" s="78">
        <f>COUNTIFS($E$5:$E$30,$E85,AZ$5:AZ$30,"Alive")</f>
        <v>0</v>
      </c>
      <c r="BA85" s="78">
        <f>COUNTIFS($E$5:$E$30,$E85,BA$5:BA$30,"Alive")</f>
        <v>0</v>
      </c>
      <c r="BB85" s="76"/>
    </row>
    <row r="86" spans="1:54" ht="14.25" customHeight="1">
      <c r="A86" s="113"/>
      <c r="E86" s="93"/>
      <c r="H86" s="93"/>
      <c r="I86" s="144" t="s">
        <v>51</v>
      </c>
      <c r="J86" s="81">
        <f>COUNTIFS($E$5:$E$30,$E85,J$5:J$30,"Censored")</f>
        <v>0</v>
      </c>
      <c r="K86" s="81">
        <f>COUNTIFS($E$5:$E$30,$E85,K$5:K$30,"Censored")</f>
        <v>0</v>
      </c>
      <c r="L86" s="81">
        <f>COUNTIFS($E$5:$E$30,$E85,L$5:L$30,"Censored")</f>
        <v>0</v>
      </c>
      <c r="M86" s="81">
        <f>COUNTIFS($E$5:$E$30,$E85,M$5:M$30,"Censored")</f>
        <v>0</v>
      </c>
      <c r="N86" s="81">
        <f>COUNTIFS($E$5:$E$30,$E85,N$5:N$30,"Censored")</f>
        <v>0</v>
      </c>
      <c r="O86" s="81">
        <f>COUNTIFS($E$5:$E$30,$E85,O$5:O$30,"Censored")</f>
        <v>0</v>
      </c>
      <c r="P86" s="81">
        <f>COUNTIFS($E$5:$E$30,$E85,P$5:P$30,"Censored")</f>
        <v>0</v>
      </c>
      <c r="Q86" s="81">
        <f>COUNTIFS($E$5:$E$30,$E85,Q$5:Q$30,"Censored")</f>
        <v>0</v>
      </c>
      <c r="R86" s="81">
        <f>COUNTIFS($E$5:$E$30,$E85,R$5:R$30,"Censored")</f>
        <v>0</v>
      </c>
      <c r="S86" s="81">
        <f>COUNTIFS($E$5:$E$30,$E85,S$5:S$30,"Censored")</f>
        <v>0</v>
      </c>
      <c r="T86" s="81">
        <f>COUNTIFS($E$5:$E$30,$E85,T$5:T$30,"Censored")</f>
        <v>0</v>
      </c>
      <c r="U86" s="81">
        <f>COUNTIFS($E$5:$E$30,$E85,U$5:U$30,"Censored")</f>
        <v>0</v>
      </c>
      <c r="V86" s="81">
        <f>COUNTIFS($E$5:$E$30,$E85,V$5:V$30,"Censored")</f>
        <v>0</v>
      </c>
      <c r="W86" s="81">
        <f>COUNTIFS($E$5:$E$30,$E85,W$5:W$30,"Censored")</f>
        <v>0</v>
      </c>
      <c r="X86" s="81">
        <f>COUNTIFS($E$5:$E$30,$E85,X$5:X$30,"Censored")</f>
        <v>0</v>
      </c>
      <c r="Y86" s="81">
        <f>COUNTIFS($E$5:$E$30,$E85,Y$5:Y$30,"Censored")</f>
        <v>0</v>
      </c>
      <c r="Z86" s="81">
        <f>COUNTIFS($E$5:$E$30,$E85,Z$5:Z$30,"Censored")</f>
        <v>0</v>
      </c>
      <c r="AA86" s="81">
        <f>COUNTIFS($E$5:$E$30,$E85,AA$5:AA$30,"Censored")</f>
        <v>0</v>
      </c>
      <c r="AB86" s="81">
        <f>COUNTIFS($E$5:$E$30,$E85,AB$5:AB$30,"Censored")</f>
        <v>0</v>
      </c>
      <c r="AC86" s="81">
        <f>COUNTIFS($E$5:$E$30,$E85,AC$5:AC$30,"Censored")</f>
        <v>0</v>
      </c>
      <c r="AD86" s="81">
        <f>COUNTIFS($E$5:$E$30,$E85,AD$5:AD$30,"Censored")</f>
        <v>0</v>
      </c>
      <c r="AE86" s="81">
        <f>COUNTIFS($E$5:$E$30,$E85,AE$5:AE$30,"Censored")</f>
        <v>0</v>
      </c>
      <c r="AF86" s="81">
        <f>COUNTIFS($E$5:$E$30,$E85,AF$5:AF$30,"Censored")</f>
        <v>0</v>
      </c>
      <c r="AG86" s="81">
        <f>COUNTIFS($E$5:$E$30,$E85,AG$5:AG$30,"Censored")</f>
        <v>0</v>
      </c>
      <c r="AH86" s="81">
        <f>COUNTIFS($E$5:$E$30,$E85,AH$5:AH$30,"Censored")</f>
        <v>0</v>
      </c>
      <c r="AI86" s="81">
        <f>COUNTIFS($E$5:$E$30,$E85,AI$5:AI$30,"Censored")</f>
        <v>0</v>
      </c>
      <c r="AJ86" s="81">
        <f>COUNTIFS($E$5:$E$30,$E85,AJ$5:AJ$30,"Censored")</f>
        <v>0</v>
      </c>
      <c r="AK86" s="81">
        <f>COUNTIFS($E$5:$E$30,$E85,AK$5:AK$30,"Censored")</f>
        <v>0</v>
      </c>
      <c r="AL86" s="81">
        <f>COUNTIFS($E$5:$E$30,$E85,AL$5:AL$30,"Censored")</f>
        <v>0</v>
      </c>
      <c r="AM86" s="81">
        <f>COUNTIFS($E$5:$E$30,$E85,AM$5:AM$30,"Censored")</f>
        <v>0</v>
      </c>
      <c r="AN86" s="81">
        <f>COUNTIFS($E$5:$E$30,$E85,AN$5:AN$30,"Censored")</f>
        <v>0</v>
      </c>
      <c r="AO86" s="81">
        <f>COUNTIFS($E$5:$E$30,$E85,AO$5:AO$30,"Censored")</f>
        <v>0</v>
      </c>
      <c r="AP86" s="81">
        <f>COUNTIFS($E$5:$E$30,$E85,AP$5:AP$30,"Censored")</f>
        <v>0</v>
      </c>
      <c r="AQ86" s="81">
        <f>COUNTIFS($E$5:$E$30,$E85,AQ$5:AQ$30,"Censored")</f>
        <v>0</v>
      </c>
      <c r="AR86" s="81">
        <f>COUNTIFS($E$5:$E$30,$E85,AR$5:AR$30,"Censored")</f>
        <v>0</v>
      </c>
      <c r="AS86" s="81">
        <f>COUNTIFS($E$5:$E$30,$E85,AS$5:AS$30,"Censored")</f>
        <v>0</v>
      </c>
      <c r="AT86" s="81">
        <f>COUNTIFS($E$5:$E$30,$E85,AT$5:AT$30,"Censored")</f>
        <v>0</v>
      </c>
      <c r="AU86" s="81">
        <f>COUNTIFS($E$5:$E$30,$E85,AU$5:AU$30,"Censored")</f>
        <v>0</v>
      </c>
      <c r="AV86" s="81">
        <f>COUNTIFS($E$5:$E$30,$E85,AV$5:AV$30,"Censored")</f>
        <v>0</v>
      </c>
      <c r="AW86" s="81">
        <f>COUNTIFS($E$5:$E$30,$E85,AW$5:AW$30,"Censored")</f>
        <v>0</v>
      </c>
      <c r="AX86" s="81">
        <f>COUNTIFS($E$5:$E$30,$E85,AX$5:AX$30,"Censored")</f>
        <v>0</v>
      </c>
      <c r="AY86" s="81">
        <f>COUNTIFS($E$5:$E$30,$E85,AY$5:AY$30,"Censored")</f>
        <v>0</v>
      </c>
      <c r="AZ86" s="81">
        <f>COUNTIFS($E$5:$E$30,$E85,AZ$5:AZ$30,"Censored")</f>
        <v>0</v>
      </c>
      <c r="BA86" s="81">
        <f>COUNTIFS($E$5:$E$30,$E85,BA$5:BA$30,"Censored")</f>
        <v>0</v>
      </c>
      <c r="BB86" s="76"/>
    </row>
    <row r="87" spans="1:54" ht="14.25" customHeight="1">
      <c r="A87" s="46"/>
      <c r="B87" s="45"/>
      <c r="C87" s="47"/>
      <c r="D87" s="45"/>
      <c r="E87" s="92"/>
      <c r="F87" s="71"/>
      <c r="G87" s="82"/>
      <c r="H87" s="93"/>
      <c r="I87" s="144" t="s">
        <v>53</v>
      </c>
      <c r="J87" s="74" t="e">
        <f>J85/(COUNTIFS($E$5:$E$30,$E85,J$5:J$30,"Alive")+COUNTIFS($E$5:$E$30,$E85,J$5:J$30,"Sacrificed")+COUNTIFS($E$5:$E$30,$E85,J$5:J$30,"Died"))</f>
        <v>#DIV/0!</v>
      </c>
      <c r="K87" s="74" t="e">
        <f>K85/(COUNTIFS($E$5:$E$30,$E85,K$5:K$30,"Alive")+COUNTIFS($E$5:$E$30,$E85,K$5:K$30,"Sacrificed")+COUNTIFS($E$5:$E$30,$E85,K$5:K$30,"Died"))*J87</f>
        <v>#DIV/0!</v>
      </c>
      <c r="L87" s="74" t="e">
        <f>L85/(COUNTIFS($E$5:$E$30,$E85,L$5:L$30,"Alive")+COUNTIFS($E$5:$E$30,$E85,L$5:L$30,"Sacrificed")+COUNTIFS($E$5:$E$30,$E85,L$5:L$30,"Died"))*K87</f>
        <v>#DIV/0!</v>
      </c>
      <c r="M87" s="74" t="e">
        <f>M85/(COUNTIFS($E$5:$E$30,$E85,M$5:M$30,"Alive")+COUNTIFS($E$5:$E$30,$E85,M$5:M$30,"Sacrificed")+COUNTIFS($E$5:$E$30,$E85,M$5:M$30,"Died"))*L87</f>
        <v>#DIV/0!</v>
      </c>
      <c r="N87" s="74" t="e">
        <f>N85/(COUNTIFS($E$5:$E$30,$E85,N$5:N$30,"Alive")+COUNTIFS($E$5:$E$30,$E85,N$5:N$30,"Sacrificed")+COUNTIFS($E$5:$E$30,$E85,N$5:N$30,"Died"))*M87</f>
        <v>#DIV/0!</v>
      </c>
      <c r="O87" s="74" t="e">
        <f>O85/(COUNTIFS($E$5:$E$30,$E85,O$5:O$30,"Alive")+COUNTIFS($E$5:$E$30,$E85,O$5:O$30,"Sacrificed")+COUNTIFS($E$5:$E$30,$E85,O$5:O$30,"Died"))*N87</f>
        <v>#DIV/0!</v>
      </c>
      <c r="P87" s="74" t="e">
        <f>P85/(COUNTIFS($E$5:$E$30,$E85,P$5:P$30,"Alive")+COUNTIFS($E$5:$E$30,$E85,P$5:P$30,"Sacrificed")+COUNTIFS($E$5:$E$30,$E85,P$5:P$30,"Died"))*O87</f>
        <v>#DIV/0!</v>
      </c>
      <c r="Q87" s="74" t="e">
        <f>Q85/(COUNTIFS($E$5:$E$30,$E85,Q$5:Q$30,"Alive")+COUNTIFS($E$5:$E$30,$E85,Q$5:Q$30,"Sacrificed")+COUNTIFS($E$5:$E$30,$E85,Q$5:Q$30,"Died"))*P87</f>
        <v>#DIV/0!</v>
      </c>
      <c r="R87" s="74" t="e">
        <f>R85/(COUNTIFS($E$5:$E$30,$E85,R$5:R$30,"Alive")+COUNTIFS($E$5:$E$30,$E85,R$5:R$30,"Sacrificed")+COUNTIFS($E$5:$E$30,$E85,R$5:R$30,"Died"))*Q87</f>
        <v>#DIV/0!</v>
      </c>
      <c r="S87" s="74" t="e">
        <f>S85/(COUNTIFS($E$5:$E$30,$E85,S$5:S$30,"Alive")+COUNTIFS($E$5:$E$30,$E85,S$5:S$30,"Sacrificed")+COUNTIFS($E$5:$E$30,$E85,S$5:S$30,"Died"))*R87</f>
        <v>#DIV/0!</v>
      </c>
      <c r="T87" s="74" t="e">
        <f>T85/(COUNTIFS($E$5:$E$30,$E85,T$5:T$30,"Alive")+COUNTIFS($E$5:$E$30,$E85,T$5:T$30,"Sacrificed")+COUNTIFS($E$5:$E$30,$E85,T$5:T$30,"Died"))*S87</f>
        <v>#DIV/0!</v>
      </c>
      <c r="U87" s="74" t="e">
        <f>U85/(COUNTIFS($E$5:$E$30,$E85,U$5:U$30,"Alive")+COUNTIFS($E$5:$E$30,$E85,U$5:U$30,"Sacrificed")+COUNTIFS($E$5:$E$30,$E85,U$5:U$30,"Died"))*T87</f>
        <v>#DIV/0!</v>
      </c>
      <c r="V87" s="74" t="e">
        <f>V85/(COUNTIFS($E$5:$E$30,$E85,V$5:V$30,"Alive")+COUNTIFS($E$5:$E$30,$E85,V$5:V$30,"Sacrificed")+COUNTIFS($E$5:$E$30,$E85,V$5:V$30,"Died"))*U87</f>
        <v>#DIV/0!</v>
      </c>
      <c r="W87" s="74" t="e">
        <f>W85/(COUNTIFS($E$5:$E$30,$E85,W$5:W$30,"Alive")+COUNTIFS($E$5:$E$30,$E85,W$5:W$30,"Sacrificed")+COUNTIFS($E$5:$E$30,$E85,W$5:W$30,"Died"))*V87</f>
        <v>#DIV/0!</v>
      </c>
      <c r="X87" s="74" t="e">
        <f>X85/(COUNTIFS($E$5:$E$30,$E85,X$5:X$30,"Alive")+COUNTIFS($E$5:$E$30,$E85,X$5:X$30,"Sacrificed")+COUNTIFS($E$5:$E$30,$E85,X$5:X$30,"Died"))*W87</f>
        <v>#DIV/0!</v>
      </c>
      <c r="Y87" s="74" t="e">
        <f>Y85/(COUNTIFS($E$5:$E$30,$E85,Y$5:Y$30,"Alive")+COUNTIFS($E$5:$E$30,$E85,Y$5:Y$30,"Sacrificed")+COUNTIFS($E$5:$E$30,$E85,Y$5:Y$30,"Died"))*X87</f>
        <v>#DIV/0!</v>
      </c>
      <c r="Z87" s="74" t="e">
        <f>Z85/(COUNTIFS($E$5:$E$30,$E85,Z$5:Z$30,"Alive")+COUNTIFS($E$5:$E$30,$E85,Z$5:Z$30,"Sacrificed")+COUNTIFS($E$5:$E$30,$E85,Z$5:Z$30,"Died"))*Y87</f>
        <v>#DIV/0!</v>
      </c>
      <c r="AA87" s="74" t="e">
        <f>AA85/(COUNTIFS($E$5:$E$30,$E85,AA$5:AA$30,"Alive")+COUNTIFS($E$5:$E$30,$E85,AA$5:AA$30,"Sacrificed")+COUNTIFS($E$5:$E$30,$E85,AA$5:AA$30,"Died"))*Z87</f>
        <v>#DIV/0!</v>
      </c>
      <c r="AB87" s="74" t="e">
        <f>AB85/(COUNTIFS($E$5:$E$30,$E85,AB$5:AB$30,"Alive")+COUNTIFS($E$5:$E$30,$E85,AB$5:AB$30,"Sacrificed")+COUNTIFS($E$5:$E$30,$E85,AB$5:AB$30,"Died"))*AA87</f>
        <v>#DIV/0!</v>
      </c>
      <c r="AC87" s="74" t="e">
        <f>AC85/(COUNTIFS($E$5:$E$30,$E85,AC$5:AC$30,"Alive")+COUNTIFS($E$5:$E$30,$E85,AC$5:AC$30,"Sacrificed")+COUNTIFS($E$5:$E$30,$E85,AC$5:AC$30,"Died"))*AB87</f>
        <v>#DIV/0!</v>
      </c>
      <c r="AD87" s="74" t="e">
        <f>AD85/(COUNTIFS($E$5:$E$30,$E85,AD$5:AD$30,"Alive")+COUNTIFS($E$5:$E$30,$E85,AD$5:AD$30,"Sacrificed")+COUNTIFS($E$5:$E$30,$E85,AD$5:AD$30,"Died"))*AC87</f>
        <v>#DIV/0!</v>
      </c>
      <c r="AE87" s="74" t="e">
        <f>AE85/(COUNTIFS($E$5:$E$30,$E85,AE$5:AE$30,"Alive")+COUNTIFS($E$5:$E$30,$E85,AE$5:AE$30,"Sacrificed")+COUNTIFS($E$5:$E$30,$E85,AE$5:AE$30,"Died"))*AD87</f>
        <v>#DIV/0!</v>
      </c>
      <c r="AF87" s="74" t="e">
        <f>AF85/(COUNTIFS($E$5:$E$30,$E85,AF$5:AF$30,"Alive")+COUNTIFS($E$5:$E$30,$E85,AF$5:AF$30,"Sacrificed")+COUNTIFS($E$5:$E$30,$E85,AF$5:AF$30,"Died"))*AE87</f>
        <v>#DIV/0!</v>
      </c>
      <c r="AG87" s="74" t="e">
        <f>AG85/(COUNTIFS($E$5:$E$30,$E85,AG$5:AG$30,"Alive")+COUNTIFS($E$5:$E$30,$E85,AG$5:AG$30,"Sacrificed")+COUNTIFS($E$5:$E$30,$E85,AG$5:AG$30,"Died"))*AF87</f>
        <v>#DIV/0!</v>
      </c>
      <c r="AH87" s="74" t="e">
        <f>AH85/(COUNTIFS($E$5:$E$30,$E85,AH$5:AH$30,"Alive")+COUNTIFS($E$5:$E$30,$E85,AH$5:AH$30,"Sacrificed")+COUNTIFS($E$5:$E$30,$E85,AH$5:AH$30,"Died"))*AG87</f>
        <v>#DIV/0!</v>
      </c>
      <c r="AI87" s="74" t="e">
        <f>AI85/(COUNTIFS($E$5:$E$30,$E85,AI$5:AI$30,"Alive")+COUNTIFS($E$5:$E$30,$E85,AI$5:AI$30,"Sacrificed")+COUNTIFS($E$5:$E$30,$E85,AI$5:AI$30,"Died"))*AH87</f>
        <v>#DIV/0!</v>
      </c>
      <c r="AJ87" s="74" t="e">
        <f>AJ85/(COUNTIFS($E$5:$E$30,$E85,AJ$5:AJ$30,"Alive")+COUNTIFS($E$5:$E$30,$E85,AJ$5:AJ$30,"Sacrificed")+COUNTIFS($E$5:$E$30,$E85,AJ$5:AJ$30,"Died"))*AI87</f>
        <v>#DIV/0!</v>
      </c>
      <c r="AK87" s="74" t="e">
        <f>AK85/(COUNTIFS($E$5:$E$30,$E85,AK$5:AK$30,"Alive")+COUNTIFS($E$5:$E$30,$E85,AK$5:AK$30,"Sacrificed")+COUNTIFS($E$5:$E$30,$E85,AK$5:AK$30,"Died"))*AJ87</f>
        <v>#DIV/0!</v>
      </c>
      <c r="AL87" s="74" t="e">
        <f>AL85/(COUNTIFS($E$5:$E$30,$E85,AL$5:AL$30,"Alive")+COUNTIFS($E$5:$E$30,$E85,AL$5:AL$30,"Sacrificed")+COUNTIFS($E$5:$E$30,$E85,AL$5:AL$30,"Died"))*AK87</f>
        <v>#DIV/0!</v>
      </c>
      <c r="AM87" s="74" t="e">
        <f>AM85/(COUNTIFS($E$5:$E$30,$E85,AM$5:AM$30,"Alive")+COUNTIFS($E$5:$E$30,$E85,AM$5:AM$30,"Sacrificed")+COUNTIFS($E$5:$E$30,$E85,AM$5:AM$30,"Died"))*AL87</f>
        <v>#DIV/0!</v>
      </c>
      <c r="AN87" s="74" t="e">
        <f>AN85/(COUNTIFS($E$5:$E$30,$E85,AN$5:AN$30,"Alive")+COUNTIFS($E$5:$E$30,$E85,AN$5:AN$30,"Sacrificed")+COUNTIFS($E$5:$E$30,$E85,AN$5:AN$30,"Died"))*AM87</f>
        <v>#DIV/0!</v>
      </c>
      <c r="AO87" s="74" t="e">
        <f>AO85/(COUNTIFS($E$5:$E$30,$E85,AO$5:AO$30,"Alive")+COUNTIFS($E$5:$E$30,$E85,AO$5:AO$30,"Sacrificed")+COUNTIFS($E$5:$E$30,$E85,AO$5:AO$30,"Died"))*AN87</f>
        <v>#DIV/0!</v>
      </c>
      <c r="AP87" s="74" t="e">
        <f>AP85/(COUNTIFS($E$5:$E$30,$E85,AP$5:AP$30,"Alive")+COUNTIFS($E$5:$E$30,$E85,AP$5:AP$30,"Sacrificed")+COUNTIFS($E$5:$E$30,$E85,AP$5:AP$30,"Died"))*AO87</f>
        <v>#DIV/0!</v>
      </c>
      <c r="AQ87" s="74" t="e">
        <f>AQ85/(COUNTIFS($E$5:$E$30,$E85,AQ$5:AQ$30,"Alive")+COUNTIFS($E$5:$E$30,$E85,AQ$5:AQ$30,"Sacrificed")+COUNTIFS($E$5:$E$30,$E85,AQ$5:AQ$30,"Died"))*AP87</f>
        <v>#DIV/0!</v>
      </c>
      <c r="AR87" s="74" t="e">
        <f>AR85/(COUNTIFS($E$5:$E$30,$E85,AR$5:AR$30,"Alive")+COUNTIFS($E$5:$E$30,$E85,AR$5:AR$30,"Sacrificed")+COUNTIFS($E$5:$E$30,$E85,AR$5:AR$30,"Died"))*AQ87</f>
        <v>#DIV/0!</v>
      </c>
      <c r="AS87" s="74" t="e">
        <f>AS85/(COUNTIFS($E$5:$E$30,$E85,AS$5:AS$30,"Alive")+COUNTIFS($E$5:$E$30,$E85,AS$5:AS$30,"Sacrificed")+COUNTIFS($E$5:$E$30,$E85,AS$5:AS$30,"Died"))*AR87</f>
        <v>#DIV/0!</v>
      </c>
      <c r="AT87" s="74" t="e">
        <f>AT85/(COUNTIFS($E$5:$E$30,$E85,AT$5:AT$30,"Alive")+COUNTIFS($E$5:$E$30,$E85,AT$5:AT$30,"Sacrificed")+COUNTIFS($E$5:$E$30,$E85,AT$5:AT$30,"Died"))*AS87</f>
        <v>#DIV/0!</v>
      </c>
      <c r="AU87" s="74" t="e">
        <f>AU85/(COUNTIFS($E$5:$E$30,$E85,AU$5:AU$30,"Alive")+COUNTIFS($E$5:$E$30,$E85,AU$5:AU$30,"Sacrificed")+COUNTIFS($E$5:$E$30,$E85,AU$5:AU$30,"Died"))*AT87</f>
        <v>#DIV/0!</v>
      </c>
      <c r="AV87" s="74" t="e">
        <f>AV85/(COUNTIFS($E$5:$E$30,$E85,AV$5:AV$30,"Alive")+COUNTIFS($E$5:$E$30,$E85,AV$5:AV$30,"Sacrificed")+COUNTIFS($E$5:$E$30,$E85,AV$5:AV$30,"Died"))*AU87</f>
        <v>#DIV/0!</v>
      </c>
      <c r="AW87" s="74" t="e">
        <f>AW85/(COUNTIFS($E$5:$E$30,$E85,AW$5:AW$30,"Alive")+COUNTIFS($E$5:$E$30,$E85,AW$5:AW$30,"Sacrificed")+COUNTIFS($E$5:$E$30,$E85,AW$5:AW$30,"Died"))*AV87</f>
        <v>#DIV/0!</v>
      </c>
      <c r="AX87" s="74" t="e">
        <f>AX85/(COUNTIFS($E$5:$E$30,$E85,AX$5:AX$30,"Alive")+COUNTIFS($E$5:$E$30,$E85,AX$5:AX$30,"Sacrificed")+COUNTIFS($E$5:$E$30,$E85,AX$5:AX$30,"Died"))*AW87</f>
        <v>#DIV/0!</v>
      </c>
      <c r="AY87" s="74" t="e">
        <f>AY85/(COUNTIFS($E$5:$E$30,$E85,AY$5:AY$30,"Alive")+COUNTIFS($E$5:$E$30,$E85,AY$5:AY$30,"Sacrificed")+COUNTIFS($E$5:$E$30,$E85,AY$5:AY$30,"Died"))*AX87</f>
        <v>#DIV/0!</v>
      </c>
      <c r="AZ87" s="74" t="e">
        <f>AZ85/(COUNTIFS($E$5:$E$30,$E85,AZ$5:AZ$30,"Alive")+COUNTIFS($E$5:$E$30,$E85,AZ$5:AZ$30,"Sacrificed")+COUNTIFS($E$5:$E$30,$E85,AZ$5:AZ$30,"Died"))*AY87</f>
        <v>#DIV/0!</v>
      </c>
      <c r="BA87" s="74" t="e">
        <f>BA85/(COUNTIFS($E$5:$E$30,$E85,BA$5:BA$30,"Alive")+COUNTIFS($E$5:$E$30,$E85,BA$5:BA$30,"Sacrificed")+COUNTIFS($E$5:$E$30,$E85,BA$5:BA$30,"Died"))*AZ87</f>
        <v>#DIV/0!</v>
      </c>
      <c r="BB87" s="3"/>
    </row>
    <row r="89" spans="1:54" ht="14.25" customHeight="1">
      <c r="A89" s="113"/>
      <c r="E89" s="118" t="str">
        <f>'FIG6 Groups'!C19</f>
        <v>Group 14</v>
      </c>
      <c r="H89" s="118" t="str">
        <f>E89</f>
        <v>Group 14</v>
      </c>
      <c r="I89" s="144" t="s">
        <v>52</v>
      </c>
      <c r="J89" s="78">
        <f>COUNTIFS($E$5:$E$30,$E89,J$5:J$30,"Alive")</f>
        <v>0</v>
      </c>
      <c r="K89" s="78">
        <f>COUNTIFS($E$5:$E$30,$E89,K$5:K$30,"Alive")</f>
        <v>0</v>
      </c>
      <c r="L89" s="78">
        <f>COUNTIFS($E$5:$E$30,$E89,L$5:L$30,"Alive")</f>
        <v>0</v>
      </c>
      <c r="M89" s="78">
        <f>COUNTIFS($E$5:$E$30,$E89,M$5:M$30,"Alive")</f>
        <v>0</v>
      </c>
      <c r="N89" s="78">
        <f>COUNTIFS($E$5:$E$30,$E89,N$5:N$30,"Alive")</f>
        <v>0</v>
      </c>
      <c r="O89" s="78">
        <f>COUNTIFS($E$5:$E$30,$E89,O$5:O$30,"Alive")</f>
        <v>0</v>
      </c>
      <c r="P89" s="78">
        <f>COUNTIFS($E$5:$E$30,$E89,P$5:P$30,"Alive")</f>
        <v>0</v>
      </c>
      <c r="Q89" s="78">
        <f>COUNTIFS($E$5:$E$30,$E89,Q$5:Q$30,"Alive")</f>
        <v>0</v>
      </c>
      <c r="R89" s="78">
        <f>COUNTIFS($E$5:$E$30,$E89,R$5:R$30,"Alive")</f>
        <v>0</v>
      </c>
      <c r="S89" s="78">
        <f>COUNTIFS($E$5:$E$30,$E89,S$5:S$30,"Alive")</f>
        <v>0</v>
      </c>
      <c r="T89" s="78">
        <f>COUNTIFS($E$5:$E$30,$E89,T$5:T$30,"Alive")</f>
        <v>0</v>
      </c>
      <c r="U89" s="78">
        <f>COUNTIFS($E$5:$E$30,$E89,U$5:U$30,"Alive")</f>
        <v>0</v>
      </c>
      <c r="V89" s="78">
        <f>COUNTIFS($E$5:$E$30,$E89,V$5:V$30,"Alive")</f>
        <v>0</v>
      </c>
      <c r="W89" s="78">
        <f>COUNTIFS($E$5:$E$30,$E89,W$5:W$30,"Alive")</f>
        <v>0</v>
      </c>
      <c r="X89" s="78">
        <f>COUNTIFS($E$5:$E$30,$E89,X$5:X$30,"Alive")</f>
        <v>0</v>
      </c>
      <c r="Y89" s="78">
        <f>COUNTIFS($E$5:$E$30,$E89,Y$5:Y$30,"Alive")</f>
        <v>0</v>
      </c>
      <c r="Z89" s="78">
        <f>COUNTIFS($E$5:$E$30,$E89,Z$5:Z$30,"Alive")</f>
        <v>0</v>
      </c>
      <c r="AA89" s="78">
        <f>COUNTIFS($E$5:$E$30,$E89,AA$5:AA$30,"Alive")</f>
        <v>0</v>
      </c>
      <c r="AB89" s="78">
        <f>COUNTIFS($E$5:$E$30,$E89,AB$5:AB$30,"Alive")</f>
        <v>0</v>
      </c>
      <c r="AC89" s="78">
        <f>COUNTIFS($E$5:$E$30,$E89,AC$5:AC$30,"Alive")</f>
        <v>0</v>
      </c>
      <c r="AD89" s="78">
        <f>COUNTIFS($E$5:$E$30,$E89,AD$5:AD$30,"Alive")</f>
        <v>0</v>
      </c>
      <c r="AE89" s="78">
        <f>COUNTIFS($E$5:$E$30,$E89,AE$5:AE$30,"Alive")</f>
        <v>0</v>
      </c>
      <c r="AF89" s="78">
        <f>COUNTIFS($E$5:$E$30,$E89,AF$5:AF$30,"Alive")</f>
        <v>0</v>
      </c>
      <c r="AG89" s="78">
        <f>COUNTIFS($E$5:$E$30,$E89,AG$5:AG$30,"Alive")</f>
        <v>0</v>
      </c>
      <c r="AH89" s="78">
        <f>COUNTIFS($E$5:$E$30,$E89,AH$5:AH$30,"Alive")</f>
        <v>0</v>
      </c>
      <c r="AI89" s="78">
        <f>COUNTIFS($E$5:$E$30,$E89,AI$5:AI$30,"Alive")</f>
        <v>0</v>
      </c>
      <c r="AJ89" s="78">
        <f>COUNTIFS($E$5:$E$30,$E89,AJ$5:AJ$30,"Alive")</f>
        <v>0</v>
      </c>
      <c r="AK89" s="78">
        <f>COUNTIFS($E$5:$E$30,$E89,AK$5:AK$30,"Alive")</f>
        <v>0</v>
      </c>
      <c r="AL89" s="78">
        <f>COUNTIFS($E$5:$E$30,$E89,AL$5:AL$30,"Alive")</f>
        <v>0</v>
      </c>
      <c r="AM89" s="78">
        <f>COUNTIFS($E$5:$E$30,$E89,AM$5:AM$30,"Alive")</f>
        <v>0</v>
      </c>
      <c r="AN89" s="78">
        <f>COUNTIFS($E$5:$E$30,$E89,AN$5:AN$30,"Alive")</f>
        <v>0</v>
      </c>
      <c r="AO89" s="78">
        <f>COUNTIFS($E$5:$E$30,$E89,AO$5:AO$30,"Alive")</f>
        <v>0</v>
      </c>
      <c r="AP89" s="78">
        <f>COUNTIFS($E$5:$E$30,$E89,AP$5:AP$30,"Alive")</f>
        <v>0</v>
      </c>
      <c r="AQ89" s="78">
        <f>COUNTIFS($E$5:$E$30,$E89,AQ$5:AQ$30,"Alive")</f>
        <v>0</v>
      </c>
      <c r="AR89" s="78">
        <f>COUNTIFS($E$5:$E$30,$E89,AR$5:AR$30,"Alive")</f>
        <v>0</v>
      </c>
      <c r="AS89" s="78">
        <f>COUNTIFS($E$5:$E$30,$E89,AS$5:AS$30,"Alive")</f>
        <v>0</v>
      </c>
      <c r="AT89" s="78">
        <f>COUNTIFS($E$5:$E$30,$E89,AT$5:AT$30,"Alive")</f>
        <v>0</v>
      </c>
      <c r="AU89" s="78">
        <f>COUNTIFS($E$5:$E$30,$E89,AU$5:AU$30,"Alive")</f>
        <v>0</v>
      </c>
      <c r="AV89" s="78">
        <f>COUNTIFS($E$5:$E$30,$E89,AV$5:AV$30,"Alive")</f>
        <v>0</v>
      </c>
      <c r="AW89" s="78">
        <f>COUNTIFS($E$5:$E$30,$E89,AW$5:AW$30,"Alive")</f>
        <v>0</v>
      </c>
      <c r="AX89" s="78">
        <f>COUNTIFS($E$5:$E$30,$E89,AX$5:AX$30,"Alive")</f>
        <v>0</v>
      </c>
      <c r="AY89" s="78">
        <f>COUNTIFS($E$5:$E$30,$E89,AY$5:AY$30,"Alive")</f>
        <v>0</v>
      </c>
      <c r="AZ89" s="78">
        <f>COUNTIFS($E$5:$E$30,$E89,AZ$5:AZ$30,"Alive")</f>
        <v>0</v>
      </c>
      <c r="BA89" s="78">
        <f>COUNTIFS($E$5:$E$30,$E89,BA$5:BA$30,"Alive")</f>
        <v>0</v>
      </c>
      <c r="BB89" s="76"/>
    </row>
    <row r="90" spans="1:54" ht="14.25" customHeight="1">
      <c r="A90" s="113"/>
      <c r="E90" s="93"/>
      <c r="H90" s="93"/>
      <c r="I90" s="144" t="s">
        <v>51</v>
      </c>
      <c r="J90" s="81">
        <f>COUNTIFS($E$5:$E$30,$E89,J$5:J$30,"Censored")</f>
        <v>0</v>
      </c>
      <c r="K90" s="81">
        <f>COUNTIFS($E$5:$E$30,$E89,K$5:K$30,"Censored")</f>
        <v>0</v>
      </c>
      <c r="L90" s="81">
        <f>COUNTIFS($E$5:$E$30,$E89,L$5:L$30,"Censored")</f>
        <v>0</v>
      </c>
      <c r="M90" s="81">
        <f>COUNTIFS($E$5:$E$30,$E89,M$5:M$30,"Censored")</f>
        <v>0</v>
      </c>
      <c r="N90" s="81">
        <f>COUNTIFS($E$5:$E$30,$E89,N$5:N$30,"Censored")</f>
        <v>0</v>
      </c>
      <c r="O90" s="81">
        <f>COUNTIFS($E$5:$E$30,$E89,O$5:O$30,"Censored")</f>
        <v>0</v>
      </c>
      <c r="P90" s="81">
        <f>COUNTIFS($E$5:$E$30,$E89,P$5:P$30,"Censored")</f>
        <v>0</v>
      </c>
      <c r="Q90" s="81">
        <f>COUNTIFS($E$5:$E$30,$E89,Q$5:Q$30,"Censored")</f>
        <v>0</v>
      </c>
      <c r="R90" s="81">
        <f>COUNTIFS($E$5:$E$30,$E89,R$5:R$30,"Censored")</f>
        <v>0</v>
      </c>
      <c r="S90" s="81">
        <f>COUNTIFS($E$5:$E$30,$E89,S$5:S$30,"Censored")</f>
        <v>0</v>
      </c>
      <c r="T90" s="81">
        <f>COUNTIFS($E$5:$E$30,$E89,T$5:T$30,"Censored")</f>
        <v>0</v>
      </c>
      <c r="U90" s="81">
        <f>COUNTIFS($E$5:$E$30,$E89,U$5:U$30,"Censored")</f>
        <v>0</v>
      </c>
      <c r="V90" s="81">
        <f>COUNTIFS($E$5:$E$30,$E89,V$5:V$30,"Censored")</f>
        <v>0</v>
      </c>
      <c r="W90" s="81">
        <f>COUNTIFS($E$5:$E$30,$E89,W$5:W$30,"Censored")</f>
        <v>0</v>
      </c>
      <c r="X90" s="81">
        <f>COUNTIFS($E$5:$E$30,$E89,X$5:X$30,"Censored")</f>
        <v>0</v>
      </c>
      <c r="Y90" s="81">
        <f>COUNTIFS($E$5:$E$30,$E89,Y$5:Y$30,"Censored")</f>
        <v>0</v>
      </c>
      <c r="Z90" s="81">
        <f>COUNTIFS($E$5:$E$30,$E89,Z$5:Z$30,"Censored")</f>
        <v>0</v>
      </c>
      <c r="AA90" s="81">
        <f>COUNTIFS($E$5:$E$30,$E89,AA$5:AA$30,"Censored")</f>
        <v>0</v>
      </c>
      <c r="AB90" s="81">
        <f>COUNTIFS($E$5:$E$30,$E89,AB$5:AB$30,"Censored")</f>
        <v>0</v>
      </c>
      <c r="AC90" s="81">
        <f>COUNTIFS($E$5:$E$30,$E89,AC$5:AC$30,"Censored")</f>
        <v>0</v>
      </c>
      <c r="AD90" s="81">
        <f>COUNTIFS($E$5:$E$30,$E89,AD$5:AD$30,"Censored")</f>
        <v>0</v>
      </c>
      <c r="AE90" s="81">
        <f>COUNTIFS($E$5:$E$30,$E89,AE$5:AE$30,"Censored")</f>
        <v>0</v>
      </c>
      <c r="AF90" s="81">
        <f>COUNTIFS($E$5:$E$30,$E89,AF$5:AF$30,"Censored")</f>
        <v>0</v>
      </c>
      <c r="AG90" s="81">
        <f>COUNTIFS($E$5:$E$30,$E89,AG$5:AG$30,"Censored")</f>
        <v>0</v>
      </c>
      <c r="AH90" s="81">
        <f>COUNTIFS($E$5:$E$30,$E89,AH$5:AH$30,"Censored")</f>
        <v>0</v>
      </c>
      <c r="AI90" s="81">
        <f>COUNTIFS($E$5:$E$30,$E89,AI$5:AI$30,"Censored")</f>
        <v>0</v>
      </c>
      <c r="AJ90" s="81">
        <f>COUNTIFS($E$5:$E$30,$E89,AJ$5:AJ$30,"Censored")</f>
        <v>0</v>
      </c>
      <c r="AK90" s="81">
        <f>COUNTIFS($E$5:$E$30,$E89,AK$5:AK$30,"Censored")</f>
        <v>0</v>
      </c>
      <c r="AL90" s="81">
        <f>COUNTIFS($E$5:$E$30,$E89,AL$5:AL$30,"Censored")</f>
        <v>0</v>
      </c>
      <c r="AM90" s="81">
        <f>COUNTIFS($E$5:$E$30,$E89,AM$5:AM$30,"Censored")</f>
        <v>0</v>
      </c>
      <c r="AN90" s="81">
        <f>COUNTIFS($E$5:$E$30,$E89,AN$5:AN$30,"Censored")</f>
        <v>0</v>
      </c>
      <c r="AO90" s="81">
        <f>COUNTIFS($E$5:$E$30,$E89,AO$5:AO$30,"Censored")</f>
        <v>0</v>
      </c>
      <c r="AP90" s="81">
        <f>COUNTIFS($E$5:$E$30,$E89,AP$5:AP$30,"Censored")</f>
        <v>0</v>
      </c>
      <c r="AQ90" s="81">
        <f>COUNTIFS($E$5:$E$30,$E89,AQ$5:AQ$30,"Censored")</f>
        <v>0</v>
      </c>
      <c r="AR90" s="81">
        <f>COUNTIFS($E$5:$E$30,$E89,AR$5:AR$30,"Censored")</f>
        <v>0</v>
      </c>
      <c r="AS90" s="81">
        <f>COUNTIFS($E$5:$E$30,$E89,AS$5:AS$30,"Censored")</f>
        <v>0</v>
      </c>
      <c r="AT90" s="81">
        <f>COUNTIFS($E$5:$E$30,$E89,AT$5:AT$30,"Censored")</f>
        <v>0</v>
      </c>
      <c r="AU90" s="81">
        <f>COUNTIFS($E$5:$E$30,$E89,AU$5:AU$30,"Censored")</f>
        <v>0</v>
      </c>
      <c r="AV90" s="81">
        <f>COUNTIFS($E$5:$E$30,$E89,AV$5:AV$30,"Censored")</f>
        <v>0</v>
      </c>
      <c r="AW90" s="81">
        <f>COUNTIFS($E$5:$E$30,$E89,AW$5:AW$30,"Censored")</f>
        <v>0</v>
      </c>
      <c r="AX90" s="81">
        <f>COUNTIFS($E$5:$E$30,$E89,AX$5:AX$30,"Censored")</f>
        <v>0</v>
      </c>
      <c r="AY90" s="81">
        <f>COUNTIFS($E$5:$E$30,$E89,AY$5:AY$30,"Censored")</f>
        <v>0</v>
      </c>
      <c r="AZ90" s="81">
        <f>COUNTIFS($E$5:$E$30,$E89,AZ$5:AZ$30,"Censored")</f>
        <v>0</v>
      </c>
      <c r="BA90" s="81">
        <f>COUNTIFS($E$5:$E$30,$E89,BA$5:BA$30,"Censored")</f>
        <v>0</v>
      </c>
      <c r="BB90" s="76"/>
    </row>
    <row r="91" spans="1:54" ht="14.25" customHeight="1">
      <c r="A91" s="46"/>
      <c r="B91" s="45"/>
      <c r="C91" s="47"/>
      <c r="D91" s="45"/>
      <c r="E91" s="92"/>
      <c r="F91" s="71"/>
      <c r="G91" s="82"/>
      <c r="H91" s="93"/>
      <c r="I91" s="144" t="s">
        <v>53</v>
      </c>
      <c r="J91" s="74" t="e">
        <f>J89/(COUNTIFS($E$5:$E$30,$E89,J$5:J$30,"Alive")+COUNTIFS($E$5:$E$30,$E89,J$5:J$30,"Sacrificed")+COUNTIFS($E$5:$E$30,$E89,J$5:J$30,"Died"))</f>
        <v>#DIV/0!</v>
      </c>
      <c r="K91" s="74" t="e">
        <f>K89/(COUNTIFS($E$5:$E$30,$E89,K$5:K$30,"Alive")+COUNTIFS($E$5:$E$30,$E89,K$5:K$30,"Sacrificed")+COUNTIFS($E$5:$E$30,$E89,K$5:K$30,"Died"))*J91</f>
        <v>#DIV/0!</v>
      </c>
      <c r="L91" s="74" t="e">
        <f>L89/(COUNTIFS($E$5:$E$30,$E89,L$5:L$30,"Alive")+COUNTIFS($E$5:$E$30,$E89,L$5:L$30,"Sacrificed")+COUNTIFS($E$5:$E$30,$E89,L$5:L$30,"Died"))*K91</f>
        <v>#DIV/0!</v>
      </c>
      <c r="M91" s="74" t="e">
        <f>M89/(COUNTIFS($E$5:$E$30,$E89,M$5:M$30,"Alive")+COUNTIFS($E$5:$E$30,$E89,M$5:M$30,"Sacrificed")+COUNTIFS($E$5:$E$30,$E89,M$5:M$30,"Died"))*L91</f>
        <v>#DIV/0!</v>
      </c>
      <c r="N91" s="74" t="e">
        <f>N89/(COUNTIFS($E$5:$E$30,$E89,N$5:N$30,"Alive")+COUNTIFS($E$5:$E$30,$E89,N$5:N$30,"Sacrificed")+COUNTIFS($E$5:$E$30,$E89,N$5:N$30,"Died"))*M91</f>
        <v>#DIV/0!</v>
      </c>
      <c r="O91" s="74" t="e">
        <f>O89/(COUNTIFS($E$5:$E$30,$E89,O$5:O$30,"Alive")+COUNTIFS($E$5:$E$30,$E89,O$5:O$30,"Sacrificed")+COUNTIFS($E$5:$E$30,$E89,O$5:O$30,"Died"))*N91</f>
        <v>#DIV/0!</v>
      </c>
      <c r="P91" s="74" t="e">
        <f>P89/(COUNTIFS($E$5:$E$30,$E89,P$5:P$30,"Alive")+COUNTIFS($E$5:$E$30,$E89,P$5:P$30,"Sacrificed")+COUNTIFS($E$5:$E$30,$E89,P$5:P$30,"Died"))*O91</f>
        <v>#DIV/0!</v>
      </c>
      <c r="Q91" s="74" t="e">
        <f>Q89/(COUNTIFS($E$5:$E$30,$E89,Q$5:Q$30,"Alive")+COUNTIFS($E$5:$E$30,$E89,Q$5:Q$30,"Sacrificed")+COUNTIFS($E$5:$E$30,$E89,Q$5:Q$30,"Died"))*P91</f>
        <v>#DIV/0!</v>
      </c>
      <c r="R91" s="74" t="e">
        <f>R89/(COUNTIFS($E$5:$E$30,$E89,R$5:R$30,"Alive")+COUNTIFS($E$5:$E$30,$E89,R$5:R$30,"Sacrificed")+COUNTIFS($E$5:$E$30,$E89,R$5:R$30,"Died"))*Q91</f>
        <v>#DIV/0!</v>
      </c>
      <c r="S91" s="74" t="e">
        <f>S89/(COUNTIFS($E$5:$E$30,$E89,S$5:S$30,"Alive")+COUNTIFS($E$5:$E$30,$E89,S$5:S$30,"Sacrificed")+COUNTIFS($E$5:$E$30,$E89,S$5:S$30,"Died"))*R91</f>
        <v>#DIV/0!</v>
      </c>
      <c r="T91" s="74" t="e">
        <f>T89/(COUNTIFS($E$5:$E$30,$E89,T$5:T$30,"Alive")+COUNTIFS($E$5:$E$30,$E89,T$5:T$30,"Sacrificed")+COUNTIFS($E$5:$E$30,$E89,T$5:T$30,"Died"))*S91</f>
        <v>#DIV/0!</v>
      </c>
      <c r="U91" s="74" t="e">
        <f>U89/(COUNTIFS($E$5:$E$30,$E89,U$5:U$30,"Alive")+COUNTIFS($E$5:$E$30,$E89,U$5:U$30,"Sacrificed")+COUNTIFS($E$5:$E$30,$E89,U$5:U$30,"Died"))*T91</f>
        <v>#DIV/0!</v>
      </c>
      <c r="V91" s="74" t="e">
        <f>V89/(COUNTIFS($E$5:$E$30,$E89,V$5:V$30,"Alive")+COUNTIFS($E$5:$E$30,$E89,V$5:V$30,"Sacrificed")+COUNTIFS($E$5:$E$30,$E89,V$5:V$30,"Died"))*U91</f>
        <v>#DIV/0!</v>
      </c>
      <c r="W91" s="74" t="e">
        <f>W89/(COUNTIFS($E$5:$E$30,$E89,W$5:W$30,"Alive")+COUNTIFS($E$5:$E$30,$E89,W$5:W$30,"Sacrificed")+COUNTIFS($E$5:$E$30,$E89,W$5:W$30,"Died"))*V91</f>
        <v>#DIV/0!</v>
      </c>
      <c r="X91" s="74" t="e">
        <f>X89/(COUNTIFS($E$5:$E$30,$E89,X$5:X$30,"Alive")+COUNTIFS($E$5:$E$30,$E89,X$5:X$30,"Sacrificed")+COUNTIFS($E$5:$E$30,$E89,X$5:X$30,"Died"))*W91</f>
        <v>#DIV/0!</v>
      </c>
      <c r="Y91" s="74" t="e">
        <f>Y89/(COUNTIFS($E$5:$E$30,$E89,Y$5:Y$30,"Alive")+COUNTIFS($E$5:$E$30,$E89,Y$5:Y$30,"Sacrificed")+COUNTIFS($E$5:$E$30,$E89,Y$5:Y$30,"Died"))*X91</f>
        <v>#DIV/0!</v>
      </c>
      <c r="Z91" s="74" t="e">
        <f>Z89/(COUNTIFS($E$5:$E$30,$E89,Z$5:Z$30,"Alive")+COUNTIFS($E$5:$E$30,$E89,Z$5:Z$30,"Sacrificed")+COUNTIFS($E$5:$E$30,$E89,Z$5:Z$30,"Died"))*Y91</f>
        <v>#DIV/0!</v>
      </c>
      <c r="AA91" s="74" t="e">
        <f>AA89/(COUNTIFS($E$5:$E$30,$E89,AA$5:AA$30,"Alive")+COUNTIFS($E$5:$E$30,$E89,AA$5:AA$30,"Sacrificed")+COUNTIFS($E$5:$E$30,$E89,AA$5:AA$30,"Died"))*Z91</f>
        <v>#DIV/0!</v>
      </c>
      <c r="AB91" s="74" t="e">
        <f>AB89/(COUNTIFS($E$5:$E$30,$E89,AB$5:AB$30,"Alive")+COUNTIFS($E$5:$E$30,$E89,AB$5:AB$30,"Sacrificed")+COUNTIFS($E$5:$E$30,$E89,AB$5:AB$30,"Died"))*AA91</f>
        <v>#DIV/0!</v>
      </c>
      <c r="AC91" s="74" t="e">
        <f>AC89/(COUNTIFS($E$5:$E$30,$E89,AC$5:AC$30,"Alive")+COUNTIFS($E$5:$E$30,$E89,AC$5:AC$30,"Sacrificed")+COUNTIFS($E$5:$E$30,$E89,AC$5:AC$30,"Died"))*AB91</f>
        <v>#DIV/0!</v>
      </c>
      <c r="AD91" s="74" t="e">
        <f>AD89/(COUNTIFS($E$5:$E$30,$E89,AD$5:AD$30,"Alive")+COUNTIFS($E$5:$E$30,$E89,AD$5:AD$30,"Sacrificed")+COUNTIFS($E$5:$E$30,$E89,AD$5:AD$30,"Died"))*AC91</f>
        <v>#DIV/0!</v>
      </c>
      <c r="AE91" s="74" t="e">
        <f>AE89/(COUNTIFS($E$5:$E$30,$E89,AE$5:AE$30,"Alive")+COUNTIFS($E$5:$E$30,$E89,AE$5:AE$30,"Sacrificed")+COUNTIFS($E$5:$E$30,$E89,AE$5:AE$30,"Died"))*AD91</f>
        <v>#DIV/0!</v>
      </c>
      <c r="AF91" s="74" t="e">
        <f>AF89/(COUNTIFS($E$5:$E$30,$E89,AF$5:AF$30,"Alive")+COUNTIFS($E$5:$E$30,$E89,AF$5:AF$30,"Sacrificed")+COUNTIFS($E$5:$E$30,$E89,AF$5:AF$30,"Died"))*AE91</f>
        <v>#DIV/0!</v>
      </c>
      <c r="AG91" s="74" t="e">
        <f>AG89/(COUNTIFS($E$5:$E$30,$E89,AG$5:AG$30,"Alive")+COUNTIFS($E$5:$E$30,$E89,AG$5:AG$30,"Sacrificed")+COUNTIFS($E$5:$E$30,$E89,AG$5:AG$30,"Died"))*AF91</f>
        <v>#DIV/0!</v>
      </c>
      <c r="AH91" s="74" t="e">
        <f>AH89/(COUNTIFS($E$5:$E$30,$E89,AH$5:AH$30,"Alive")+COUNTIFS($E$5:$E$30,$E89,AH$5:AH$30,"Sacrificed")+COUNTIFS($E$5:$E$30,$E89,AH$5:AH$30,"Died"))*AG91</f>
        <v>#DIV/0!</v>
      </c>
      <c r="AI91" s="74" t="e">
        <f>AI89/(COUNTIFS($E$5:$E$30,$E89,AI$5:AI$30,"Alive")+COUNTIFS($E$5:$E$30,$E89,AI$5:AI$30,"Sacrificed")+COUNTIFS($E$5:$E$30,$E89,AI$5:AI$30,"Died"))*AH91</f>
        <v>#DIV/0!</v>
      </c>
      <c r="AJ91" s="74" t="e">
        <f>AJ89/(COUNTIFS($E$5:$E$30,$E89,AJ$5:AJ$30,"Alive")+COUNTIFS($E$5:$E$30,$E89,AJ$5:AJ$30,"Sacrificed")+COUNTIFS($E$5:$E$30,$E89,AJ$5:AJ$30,"Died"))*AI91</f>
        <v>#DIV/0!</v>
      </c>
      <c r="AK91" s="74" t="e">
        <f>AK89/(COUNTIFS($E$5:$E$30,$E89,AK$5:AK$30,"Alive")+COUNTIFS($E$5:$E$30,$E89,AK$5:AK$30,"Sacrificed")+COUNTIFS($E$5:$E$30,$E89,AK$5:AK$30,"Died"))*AJ91</f>
        <v>#DIV/0!</v>
      </c>
      <c r="AL91" s="74" t="e">
        <f>AL89/(COUNTIFS($E$5:$E$30,$E89,AL$5:AL$30,"Alive")+COUNTIFS($E$5:$E$30,$E89,AL$5:AL$30,"Sacrificed")+COUNTIFS($E$5:$E$30,$E89,AL$5:AL$30,"Died"))*AK91</f>
        <v>#DIV/0!</v>
      </c>
      <c r="AM91" s="74" t="e">
        <f>AM89/(COUNTIFS($E$5:$E$30,$E89,AM$5:AM$30,"Alive")+COUNTIFS($E$5:$E$30,$E89,AM$5:AM$30,"Sacrificed")+COUNTIFS($E$5:$E$30,$E89,AM$5:AM$30,"Died"))*AL91</f>
        <v>#DIV/0!</v>
      </c>
      <c r="AN91" s="74" t="e">
        <f>AN89/(COUNTIFS($E$5:$E$30,$E89,AN$5:AN$30,"Alive")+COUNTIFS($E$5:$E$30,$E89,AN$5:AN$30,"Sacrificed")+COUNTIFS($E$5:$E$30,$E89,AN$5:AN$30,"Died"))*AM91</f>
        <v>#DIV/0!</v>
      </c>
      <c r="AO91" s="74" t="e">
        <f>AO89/(COUNTIFS($E$5:$E$30,$E89,AO$5:AO$30,"Alive")+COUNTIFS($E$5:$E$30,$E89,AO$5:AO$30,"Sacrificed")+COUNTIFS($E$5:$E$30,$E89,AO$5:AO$30,"Died"))*AN91</f>
        <v>#DIV/0!</v>
      </c>
      <c r="AP91" s="74" t="e">
        <f>AP89/(COUNTIFS($E$5:$E$30,$E89,AP$5:AP$30,"Alive")+COUNTIFS($E$5:$E$30,$E89,AP$5:AP$30,"Sacrificed")+COUNTIFS($E$5:$E$30,$E89,AP$5:AP$30,"Died"))*AO91</f>
        <v>#DIV/0!</v>
      </c>
      <c r="AQ91" s="74" t="e">
        <f>AQ89/(COUNTIFS($E$5:$E$30,$E89,AQ$5:AQ$30,"Alive")+COUNTIFS($E$5:$E$30,$E89,AQ$5:AQ$30,"Sacrificed")+COUNTIFS($E$5:$E$30,$E89,AQ$5:AQ$30,"Died"))*AP91</f>
        <v>#DIV/0!</v>
      </c>
      <c r="AR91" s="74" t="e">
        <f>AR89/(COUNTIFS($E$5:$E$30,$E89,AR$5:AR$30,"Alive")+COUNTIFS($E$5:$E$30,$E89,AR$5:AR$30,"Sacrificed")+COUNTIFS($E$5:$E$30,$E89,AR$5:AR$30,"Died"))*AQ91</f>
        <v>#DIV/0!</v>
      </c>
      <c r="AS91" s="74" t="e">
        <f>AS89/(COUNTIFS($E$5:$E$30,$E89,AS$5:AS$30,"Alive")+COUNTIFS($E$5:$E$30,$E89,AS$5:AS$30,"Sacrificed")+COUNTIFS($E$5:$E$30,$E89,AS$5:AS$30,"Died"))*AR91</f>
        <v>#DIV/0!</v>
      </c>
      <c r="AT91" s="74" t="e">
        <f>AT89/(COUNTIFS($E$5:$E$30,$E89,AT$5:AT$30,"Alive")+COUNTIFS($E$5:$E$30,$E89,AT$5:AT$30,"Sacrificed")+COUNTIFS($E$5:$E$30,$E89,AT$5:AT$30,"Died"))*AS91</f>
        <v>#DIV/0!</v>
      </c>
      <c r="AU91" s="74" t="e">
        <f>AU89/(COUNTIFS($E$5:$E$30,$E89,AU$5:AU$30,"Alive")+COUNTIFS($E$5:$E$30,$E89,AU$5:AU$30,"Sacrificed")+COUNTIFS($E$5:$E$30,$E89,AU$5:AU$30,"Died"))*AT91</f>
        <v>#DIV/0!</v>
      </c>
      <c r="AV91" s="74" t="e">
        <f>AV89/(COUNTIFS($E$5:$E$30,$E89,AV$5:AV$30,"Alive")+COUNTIFS($E$5:$E$30,$E89,AV$5:AV$30,"Sacrificed")+COUNTIFS($E$5:$E$30,$E89,AV$5:AV$30,"Died"))*AU91</f>
        <v>#DIV/0!</v>
      </c>
      <c r="AW91" s="74" t="e">
        <f>AW89/(COUNTIFS($E$5:$E$30,$E89,AW$5:AW$30,"Alive")+COUNTIFS($E$5:$E$30,$E89,AW$5:AW$30,"Sacrificed")+COUNTIFS($E$5:$E$30,$E89,AW$5:AW$30,"Died"))*AV91</f>
        <v>#DIV/0!</v>
      </c>
      <c r="AX91" s="74" t="e">
        <f>AX89/(COUNTIFS($E$5:$E$30,$E89,AX$5:AX$30,"Alive")+COUNTIFS($E$5:$E$30,$E89,AX$5:AX$30,"Sacrificed")+COUNTIFS($E$5:$E$30,$E89,AX$5:AX$30,"Died"))*AW91</f>
        <v>#DIV/0!</v>
      </c>
      <c r="AY91" s="74" t="e">
        <f>AY89/(COUNTIFS($E$5:$E$30,$E89,AY$5:AY$30,"Alive")+COUNTIFS($E$5:$E$30,$E89,AY$5:AY$30,"Sacrificed")+COUNTIFS($E$5:$E$30,$E89,AY$5:AY$30,"Died"))*AX91</f>
        <v>#DIV/0!</v>
      </c>
      <c r="AZ91" s="74" t="e">
        <f>AZ89/(COUNTIFS($E$5:$E$30,$E89,AZ$5:AZ$30,"Alive")+COUNTIFS($E$5:$E$30,$E89,AZ$5:AZ$30,"Sacrificed")+COUNTIFS($E$5:$E$30,$E89,AZ$5:AZ$30,"Died"))*AY91</f>
        <v>#DIV/0!</v>
      </c>
      <c r="BA91" s="74" t="e">
        <f>BA89/(COUNTIFS($E$5:$E$30,$E89,BA$5:BA$30,"Alive")+COUNTIFS($E$5:$E$30,$E89,BA$5:BA$30,"Sacrificed")+COUNTIFS($E$5:$E$30,$E89,BA$5:BA$30,"Died"))*AZ91</f>
        <v>#DIV/0!</v>
      </c>
      <c r="BB91" s="3"/>
    </row>
    <row r="93" spans="1:54" ht="14.25" customHeight="1">
      <c r="A93" s="113"/>
      <c r="E93" s="118" t="str">
        <f>'FIG6 Groups'!C20</f>
        <v>Group 15</v>
      </c>
      <c r="H93" s="118" t="str">
        <f>E93</f>
        <v>Group 15</v>
      </c>
      <c r="I93" s="144" t="s">
        <v>52</v>
      </c>
      <c r="J93" s="78">
        <f>COUNTIFS($E$5:$E$30,$E93,J$5:J$30,"Alive")</f>
        <v>0</v>
      </c>
      <c r="K93" s="78">
        <f>COUNTIFS($E$5:$E$30,$E93,K$5:K$30,"Alive")</f>
        <v>0</v>
      </c>
      <c r="L93" s="78">
        <f>COUNTIFS($E$5:$E$30,$E93,L$5:L$30,"Alive")</f>
        <v>0</v>
      </c>
      <c r="M93" s="78">
        <f>COUNTIFS($E$5:$E$30,$E93,M$5:M$30,"Alive")</f>
        <v>0</v>
      </c>
      <c r="N93" s="78">
        <f>COUNTIFS($E$5:$E$30,$E93,N$5:N$30,"Alive")</f>
        <v>0</v>
      </c>
      <c r="O93" s="78">
        <f>COUNTIFS($E$5:$E$30,$E93,O$5:O$30,"Alive")</f>
        <v>0</v>
      </c>
      <c r="P93" s="78">
        <f>COUNTIFS($E$5:$E$30,$E93,P$5:P$30,"Alive")</f>
        <v>0</v>
      </c>
      <c r="Q93" s="78">
        <f>COUNTIFS($E$5:$E$30,$E93,Q$5:Q$30,"Alive")</f>
        <v>0</v>
      </c>
      <c r="R93" s="78">
        <f>COUNTIFS($E$5:$E$30,$E93,R$5:R$30,"Alive")</f>
        <v>0</v>
      </c>
      <c r="S93" s="78">
        <f>COUNTIFS($E$5:$E$30,$E93,S$5:S$30,"Alive")</f>
        <v>0</v>
      </c>
      <c r="T93" s="78">
        <f>COUNTIFS($E$5:$E$30,$E93,T$5:T$30,"Alive")</f>
        <v>0</v>
      </c>
      <c r="U93" s="78">
        <f>COUNTIFS($E$5:$E$30,$E93,U$5:U$30,"Alive")</f>
        <v>0</v>
      </c>
      <c r="V93" s="78">
        <f>COUNTIFS($E$5:$E$30,$E93,V$5:V$30,"Alive")</f>
        <v>0</v>
      </c>
      <c r="W93" s="78">
        <f>COUNTIFS($E$5:$E$30,$E93,W$5:W$30,"Alive")</f>
        <v>0</v>
      </c>
      <c r="X93" s="78">
        <f>COUNTIFS($E$5:$E$30,$E93,X$5:X$30,"Alive")</f>
        <v>0</v>
      </c>
      <c r="Y93" s="78">
        <f>COUNTIFS($E$5:$E$30,$E93,Y$5:Y$30,"Alive")</f>
        <v>0</v>
      </c>
      <c r="Z93" s="78">
        <f>COUNTIFS($E$5:$E$30,$E93,Z$5:Z$30,"Alive")</f>
        <v>0</v>
      </c>
      <c r="AA93" s="78">
        <f>COUNTIFS($E$5:$E$30,$E93,AA$5:AA$30,"Alive")</f>
        <v>0</v>
      </c>
      <c r="AB93" s="78">
        <f>COUNTIFS($E$5:$E$30,$E93,AB$5:AB$30,"Alive")</f>
        <v>0</v>
      </c>
      <c r="AC93" s="78">
        <f>COUNTIFS($E$5:$E$30,$E93,AC$5:AC$30,"Alive")</f>
        <v>0</v>
      </c>
      <c r="AD93" s="78">
        <f>COUNTIFS($E$5:$E$30,$E93,AD$5:AD$30,"Alive")</f>
        <v>0</v>
      </c>
      <c r="AE93" s="78">
        <f>COUNTIFS($E$5:$E$30,$E93,AE$5:AE$30,"Alive")</f>
        <v>0</v>
      </c>
      <c r="AF93" s="78">
        <f>COUNTIFS($E$5:$E$30,$E93,AF$5:AF$30,"Alive")</f>
        <v>0</v>
      </c>
      <c r="AG93" s="78">
        <f>COUNTIFS($E$5:$E$30,$E93,AG$5:AG$30,"Alive")</f>
        <v>0</v>
      </c>
      <c r="AH93" s="78">
        <f>COUNTIFS($E$5:$E$30,$E93,AH$5:AH$30,"Alive")</f>
        <v>0</v>
      </c>
      <c r="AI93" s="78">
        <f>COUNTIFS($E$5:$E$30,$E93,AI$5:AI$30,"Alive")</f>
        <v>0</v>
      </c>
      <c r="AJ93" s="78">
        <f>COUNTIFS($E$5:$E$30,$E93,AJ$5:AJ$30,"Alive")</f>
        <v>0</v>
      </c>
      <c r="AK93" s="78">
        <f>COUNTIFS($E$5:$E$30,$E93,AK$5:AK$30,"Alive")</f>
        <v>0</v>
      </c>
      <c r="AL93" s="78">
        <f>COUNTIFS($E$5:$E$30,$E93,AL$5:AL$30,"Alive")</f>
        <v>0</v>
      </c>
      <c r="AM93" s="78">
        <f>COUNTIFS($E$5:$E$30,$E93,AM$5:AM$30,"Alive")</f>
        <v>0</v>
      </c>
      <c r="AN93" s="78">
        <f>COUNTIFS($E$5:$E$30,$E93,AN$5:AN$30,"Alive")</f>
        <v>0</v>
      </c>
      <c r="AO93" s="78">
        <f>COUNTIFS($E$5:$E$30,$E93,AO$5:AO$30,"Alive")</f>
        <v>0</v>
      </c>
      <c r="AP93" s="78">
        <f>COUNTIFS($E$5:$E$30,$E93,AP$5:AP$30,"Alive")</f>
        <v>0</v>
      </c>
      <c r="AQ93" s="78">
        <f>COUNTIFS($E$5:$E$30,$E93,AQ$5:AQ$30,"Alive")</f>
        <v>0</v>
      </c>
      <c r="AR93" s="78">
        <f>COUNTIFS($E$5:$E$30,$E93,AR$5:AR$30,"Alive")</f>
        <v>0</v>
      </c>
      <c r="AS93" s="78">
        <f>COUNTIFS($E$5:$E$30,$E93,AS$5:AS$30,"Alive")</f>
        <v>0</v>
      </c>
      <c r="AT93" s="78">
        <f>COUNTIFS($E$5:$E$30,$E93,AT$5:AT$30,"Alive")</f>
        <v>0</v>
      </c>
      <c r="AU93" s="78">
        <f>COUNTIFS($E$5:$E$30,$E93,AU$5:AU$30,"Alive")</f>
        <v>0</v>
      </c>
      <c r="AV93" s="78">
        <f>COUNTIFS($E$5:$E$30,$E93,AV$5:AV$30,"Alive")</f>
        <v>0</v>
      </c>
      <c r="AW93" s="78">
        <f>COUNTIFS($E$5:$E$30,$E93,AW$5:AW$30,"Alive")</f>
        <v>0</v>
      </c>
      <c r="AX93" s="78">
        <f>COUNTIFS($E$5:$E$30,$E93,AX$5:AX$30,"Alive")</f>
        <v>0</v>
      </c>
      <c r="AY93" s="78">
        <f>COUNTIFS($E$5:$E$30,$E93,AY$5:AY$30,"Alive")</f>
        <v>0</v>
      </c>
      <c r="AZ93" s="78">
        <f>COUNTIFS($E$5:$E$30,$E93,AZ$5:AZ$30,"Alive")</f>
        <v>0</v>
      </c>
      <c r="BA93" s="78">
        <f>COUNTIFS($E$5:$E$30,$E93,BA$5:BA$30,"Alive")</f>
        <v>0</v>
      </c>
      <c r="BB93" s="76"/>
    </row>
    <row r="94" spans="1:54" ht="14.25" customHeight="1">
      <c r="A94" s="113"/>
      <c r="E94" s="93"/>
      <c r="H94" s="93"/>
      <c r="I94" s="144" t="s">
        <v>51</v>
      </c>
      <c r="J94" s="81">
        <f>COUNTIFS($E$5:$E$30,$E93,J$5:J$30,"Censored")</f>
        <v>0</v>
      </c>
      <c r="K94" s="81">
        <f>COUNTIFS($E$5:$E$30,$E93,K$5:K$30,"Censored")</f>
        <v>0</v>
      </c>
      <c r="L94" s="81">
        <f>COUNTIFS($E$5:$E$30,$E93,L$5:L$30,"Censored")</f>
        <v>0</v>
      </c>
      <c r="M94" s="81">
        <f>COUNTIFS($E$5:$E$30,$E93,M$5:M$30,"Censored")</f>
        <v>0</v>
      </c>
      <c r="N94" s="81">
        <f>COUNTIFS($E$5:$E$30,$E93,N$5:N$30,"Censored")</f>
        <v>0</v>
      </c>
      <c r="O94" s="81">
        <f>COUNTIFS($E$5:$E$30,$E93,O$5:O$30,"Censored")</f>
        <v>0</v>
      </c>
      <c r="P94" s="81">
        <f>COUNTIFS($E$5:$E$30,$E93,P$5:P$30,"Censored")</f>
        <v>0</v>
      </c>
      <c r="Q94" s="81">
        <f>COUNTIFS($E$5:$E$30,$E93,Q$5:Q$30,"Censored")</f>
        <v>0</v>
      </c>
      <c r="R94" s="81">
        <f>COUNTIFS($E$5:$E$30,$E93,R$5:R$30,"Censored")</f>
        <v>0</v>
      </c>
      <c r="S94" s="81">
        <f>COUNTIFS($E$5:$E$30,$E93,S$5:S$30,"Censored")</f>
        <v>0</v>
      </c>
      <c r="T94" s="81">
        <f>COUNTIFS($E$5:$E$30,$E93,T$5:T$30,"Censored")</f>
        <v>0</v>
      </c>
      <c r="U94" s="81">
        <f>COUNTIFS($E$5:$E$30,$E93,U$5:U$30,"Censored")</f>
        <v>0</v>
      </c>
      <c r="V94" s="81">
        <f>COUNTIFS($E$5:$E$30,$E93,V$5:V$30,"Censored")</f>
        <v>0</v>
      </c>
      <c r="W94" s="81">
        <f>COUNTIFS($E$5:$E$30,$E93,W$5:W$30,"Censored")</f>
        <v>0</v>
      </c>
      <c r="X94" s="81">
        <f>COUNTIFS($E$5:$E$30,$E93,X$5:X$30,"Censored")</f>
        <v>0</v>
      </c>
      <c r="Y94" s="81">
        <f>COUNTIFS($E$5:$E$30,$E93,Y$5:Y$30,"Censored")</f>
        <v>0</v>
      </c>
      <c r="Z94" s="81">
        <f>COUNTIFS($E$5:$E$30,$E93,Z$5:Z$30,"Censored")</f>
        <v>0</v>
      </c>
      <c r="AA94" s="81">
        <f>COUNTIFS($E$5:$E$30,$E93,AA$5:AA$30,"Censored")</f>
        <v>0</v>
      </c>
      <c r="AB94" s="81">
        <f>COUNTIFS($E$5:$E$30,$E93,AB$5:AB$30,"Censored")</f>
        <v>0</v>
      </c>
      <c r="AC94" s="81">
        <f>COUNTIFS($E$5:$E$30,$E93,AC$5:AC$30,"Censored")</f>
        <v>0</v>
      </c>
      <c r="AD94" s="81">
        <f>COUNTIFS($E$5:$E$30,$E93,AD$5:AD$30,"Censored")</f>
        <v>0</v>
      </c>
      <c r="AE94" s="81">
        <f>COUNTIFS($E$5:$E$30,$E93,AE$5:AE$30,"Censored")</f>
        <v>0</v>
      </c>
      <c r="AF94" s="81">
        <f>COUNTIFS($E$5:$E$30,$E93,AF$5:AF$30,"Censored")</f>
        <v>0</v>
      </c>
      <c r="AG94" s="81">
        <f>COUNTIFS($E$5:$E$30,$E93,AG$5:AG$30,"Censored")</f>
        <v>0</v>
      </c>
      <c r="AH94" s="81">
        <f>COUNTIFS($E$5:$E$30,$E93,AH$5:AH$30,"Censored")</f>
        <v>0</v>
      </c>
      <c r="AI94" s="81">
        <f>COUNTIFS($E$5:$E$30,$E93,AI$5:AI$30,"Censored")</f>
        <v>0</v>
      </c>
      <c r="AJ94" s="81">
        <f>COUNTIFS($E$5:$E$30,$E93,AJ$5:AJ$30,"Censored")</f>
        <v>0</v>
      </c>
      <c r="AK94" s="81">
        <f>COUNTIFS($E$5:$E$30,$E93,AK$5:AK$30,"Censored")</f>
        <v>0</v>
      </c>
      <c r="AL94" s="81">
        <f>COUNTIFS($E$5:$E$30,$E93,AL$5:AL$30,"Censored")</f>
        <v>0</v>
      </c>
      <c r="AM94" s="81">
        <f>COUNTIFS($E$5:$E$30,$E93,AM$5:AM$30,"Censored")</f>
        <v>0</v>
      </c>
      <c r="AN94" s="81">
        <f>COUNTIFS($E$5:$E$30,$E93,AN$5:AN$30,"Censored")</f>
        <v>0</v>
      </c>
      <c r="AO94" s="81">
        <f>COUNTIFS($E$5:$E$30,$E93,AO$5:AO$30,"Censored")</f>
        <v>0</v>
      </c>
      <c r="AP94" s="81">
        <f>COUNTIFS($E$5:$E$30,$E93,AP$5:AP$30,"Censored")</f>
        <v>0</v>
      </c>
      <c r="AQ94" s="81">
        <f>COUNTIFS($E$5:$E$30,$E93,AQ$5:AQ$30,"Censored")</f>
        <v>0</v>
      </c>
      <c r="AR94" s="81">
        <f>COUNTIFS($E$5:$E$30,$E93,AR$5:AR$30,"Censored")</f>
        <v>0</v>
      </c>
      <c r="AS94" s="81">
        <f>COUNTIFS($E$5:$E$30,$E93,AS$5:AS$30,"Censored")</f>
        <v>0</v>
      </c>
      <c r="AT94" s="81">
        <f>COUNTIFS($E$5:$E$30,$E93,AT$5:AT$30,"Censored")</f>
        <v>0</v>
      </c>
      <c r="AU94" s="81">
        <f>COUNTIFS($E$5:$E$30,$E93,AU$5:AU$30,"Censored")</f>
        <v>0</v>
      </c>
      <c r="AV94" s="81">
        <f>COUNTIFS($E$5:$E$30,$E93,AV$5:AV$30,"Censored")</f>
        <v>0</v>
      </c>
      <c r="AW94" s="81">
        <f>COUNTIFS($E$5:$E$30,$E93,AW$5:AW$30,"Censored")</f>
        <v>0</v>
      </c>
      <c r="AX94" s="81">
        <f>COUNTIFS($E$5:$E$30,$E93,AX$5:AX$30,"Censored")</f>
        <v>0</v>
      </c>
      <c r="AY94" s="81">
        <f>COUNTIFS($E$5:$E$30,$E93,AY$5:AY$30,"Censored")</f>
        <v>0</v>
      </c>
      <c r="AZ94" s="81">
        <f>COUNTIFS($E$5:$E$30,$E93,AZ$5:AZ$30,"Censored")</f>
        <v>0</v>
      </c>
      <c r="BA94" s="81">
        <f>COUNTIFS($E$5:$E$30,$E93,BA$5:BA$30,"Censored")</f>
        <v>0</v>
      </c>
      <c r="BB94" s="76"/>
    </row>
    <row r="95" spans="1:54" ht="14.25" customHeight="1">
      <c r="A95" s="46"/>
      <c r="B95" s="45"/>
      <c r="C95" s="47"/>
      <c r="D95" s="45"/>
      <c r="E95" s="92"/>
      <c r="F95" s="71"/>
      <c r="G95" s="82"/>
      <c r="H95" s="93"/>
      <c r="I95" s="144" t="s">
        <v>53</v>
      </c>
      <c r="J95" s="74" t="e">
        <f>J93/(COUNTIFS($E$5:$E$30,$E93,J$5:J$30,"Alive")+COUNTIFS($E$5:$E$30,$E93,J$5:J$30,"Sacrificed")+COUNTIFS($E$5:$E$30,$E93,J$5:J$30,"Died"))</f>
        <v>#DIV/0!</v>
      </c>
      <c r="K95" s="74" t="e">
        <f>K93/(COUNTIFS($E$5:$E$30,$E93,K$5:K$30,"Alive")+COUNTIFS($E$5:$E$30,$E93,K$5:K$30,"Sacrificed")+COUNTIFS($E$5:$E$30,$E93,K$5:K$30,"Died"))*J95</f>
        <v>#DIV/0!</v>
      </c>
      <c r="L95" s="74" t="e">
        <f>L93/(COUNTIFS($E$5:$E$30,$E93,L$5:L$30,"Alive")+COUNTIFS($E$5:$E$30,$E93,L$5:L$30,"Sacrificed")+COUNTIFS($E$5:$E$30,$E93,L$5:L$30,"Died"))*K95</f>
        <v>#DIV/0!</v>
      </c>
      <c r="M95" s="74" t="e">
        <f>M93/(COUNTIFS($E$5:$E$30,$E93,M$5:M$30,"Alive")+COUNTIFS($E$5:$E$30,$E93,M$5:M$30,"Sacrificed")+COUNTIFS($E$5:$E$30,$E93,M$5:M$30,"Died"))*L95</f>
        <v>#DIV/0!</v>
      </c>
      <c r="N95" s="74" t="e">
        <f>N93/(COUNTIFS($E$5:$E$30,$E93,N$5:N$30,"Alive")+COUNTIFS($E$5:$E$30,$E93,N$5:N$30,"Sacrificed")+COUNTIFS($E$5:$E$30,$E93,N$5:N$30,"Died"))*M95</f>
        <v>#DIV/0!</v>
      </c>
      <c r="O95" s="74" t="e">
        <f>O93/(COUNTIFS($E$5:$E$30,$E93,O$5:O$30,"Alive")+COUNTIFS($E$5:$E$30,$E93,O$5:O$30,"Sacrificed")+COUNTIFS($E$5:$E$30,$E93,O$5:O$30,"Died"))*N95</f>
        <v>#DIV/0!</v>
      </c>
      <c r="P95" s="74" t="e">
        <f>P93/(COUNTIFS($E$5:$E$30,$E93,P$5:P$30,"Alive")+COUNTIFS($E$5:$E$30,$E93,P$5:P$30,"Sacrificed")+COUNTIFS($E$5:$E$30,$E93,P$5:P$30,"Died"))*O95</f>
        <v>#DIV/0!</v>
      </c>
      <c r="Q95" s="74" t="e">
        <f>Q93/(COUNTIFS($E$5:$E$30,$E93,Q$5:Q$30,"Alive")+COUNTIFS($E$5:$E$30,$E93,Q$5:Q$30,"Sacrificed")+COUNTIFS($E$5:$E$30,$E93,Q$5:Q$30,"Died"))*P95</f>
        <v>#DIV/0!</v>
      </c>
      <c r="R95" s="74" t="e">
        <f>R93/(COUNTIFS($E$5:$E$30,$E93,R$5:R$30,"Alive")+COUNTIFS($E$5:$E$30,$E93,R$5:R$30,"Sacrificed")+COUNTIFS($E$5:$E$30,$E93,R$5:R$30,"Died"))*Q95</f>
        <v>#DIV/0!</v>
      </c>
      <c r="S95" s="74" t="e">
        <f>S93/(COUNTIFS($E$5:$E$30,$E93,S$5:S$30,"Alive")+COUNTIFS($E$5:$E$30,$E93,S$5:S$30,"Sacrificed")+COUNTIFS($E$5:$E$30,$E93,S$5:S$30,"Died"))*R95</f>
        <v>#DIV/0!</v>
      </c>
      <c r="T95" s="74" t="e">
        <f>T93/(COUNTIFS($E$5:$E$30,$E93,T$5:T$30,"Alive")+COUNTIFS($E$5:$E$30,$E93,T$5:T$30,"Sacrificed")+COUNTIFS($E$5:$E$30,$E93,T$5:T$30,"Died"))*S95</f>
        <v>#DIV/0!</v>
      </c>
      <c r="U95" s="74" t="e">
        <f>U93/(COUNTIFS($E$5:$E$30,$E93,U$5:U$30,"Alive")+COUNTIFS($E$5:$E$30,$E93,U$5:U$30,"Sacrificed")+COUNTIFS($E$5:$E$30,$E93,U$5:U$30,"Died"))*T95</f>
        <v>#DIV/0!</v>
      </c>
      <c r="V95" s="74" t="e">
        <f>V93/(COUNTIFS($E$5:$E$30,$E93,V$5:V$30,"Alive")+COUNTIFS($E$5:$E$30,$E93,V$5:V$30,"Sacrificed")+COUNTIFS($E$5:$E$30,$E93,V$5:V$30,"Died"))*U95</f>
        <v>#DIV/0!</v>
      </c>
      <c r="W95" s="74" t="e">
        <f>W93/(COUNTIFS($E$5:$E$30,$E93,W$5:W$30,"Alive")+COUNTIFS($E$5:$E$30,$E93,W$5:W$30,"Sacrificed")+COUNTIFS($E$5:$E$30,$E93,W$5:W$30,"Died"))*V95</f>
        <v>#DIV/0!</v>
      </c>
      <c r="X95" s="74" t="e">
        <f>X93/(COUNTIFS($E$5:$E$30,$E93,X$5:X$30,"Alive")+COUNTIFS($E$5:$E$30,$E93,X$5:X$30,"Sacrificed")+COUNTIFS($E$5:$E$30,$E93,X$5:X$30,"Died"))*W95</f>
        <v>#DIV/0!</v>
      </c>
      <c r="Y95" s="74" t="e">
        <f>Y93/(COUNTIFS($E$5:$E$30,$E93,Y$5:Y$30,"Alive")+COUNTIFS($E$5:$E$30,$E93,Y$5:Y$30,"Sacrificed")+COUNTIFS($E$5:$E$30,$E93,Y$5:Y$30,"Died"))*X95</f>
        <v>#DIV/0!</v>
      </c>
      <c r="Z95" s="74" t="e">
        <f>Z93/(COUNTIFS($E$5:$E$30,$E93,Z$5:Z$30,"Alive")+COUNTIFS($E$5:$E$30,$E93,Z$5:Z$30,"Sacrificed")+COUNTIFS($E$5:$E$30,$E93,Z$5:Z$30,"Died"))*Y95</f>
        <v>#DIV/0!</v>
      </c>
      <c r="AA95" s="74" t="e">
        <f>AA93/(COUNTIFS($E$5:$E$30,$E93,AA$5:AA$30,"Alive")+COUNTIFS($E$5:$E$30,$E93,AA$5:AA$30,"Sacrificed")+COUNTIFS($E$5:$E$30,$E93,AA$5:AA$30,"Died"))*Z95</f>
        <v>#DIV/0!</v>
      </c>
      <c r="AB95" s="74" t="e">
        <f>AB93/(COUNTIFS($E$5:$E$30,$E93,AB$5:AB$30,"Alive")+COUNTIFS($E$5:$E$30,$E93,AB$5:AB$30,"Sacrificed")+COUNTIFS($E$5:$E$30,$E93,AB$5:AB$30,"Died"))*AA95</f>
        <v>#DIV/0!</v>
      </c>
      <c r="AC95" s="74" t="e">
        <f>AC93/(COUNTIFS($E$5:$E$30,$E93,AC$5:AC$30,"Alive")+COUNTIFS($E$5:$E$30,$E93,AC$5:AC$30,"Sacrificed")+COUNTIFS($E$5:$E$30,$E93,AC$5:AC$30,"Died"))*AB95</f>
        <v>#DIV/0!</v>
      </c>
      <c r="AD95" s="74" t="e">
        <f>AD93/(COUNTIFS($E$5:$E$30,$E93,AD$5:AD$30,"Alive")+COUNTIFS($E$5:$E$30,$E93,AD$5:AD$30,"Sacrificed")+COUNTIFS($E$5:$E$30,$E93,AD$5:AD$30,"Died"))*AC95</f>
        <v>#DIV/0!</v>
      </c>
      <c r="AE95" s="74" t="e">
        <f>AE93/(COUNTIFS($E$5:$E$30,$E93,AE$5:AE$30,"Alive")+COUNTIFS($E$5:$E$30,$E93,AE$5:AE$30,"Sacrificed")+COUNTIFS($E$5:$E$30,$E93,AE$5:AE$30,"Died"))*AD95</f>
        <v>#DIV/0!</v>
      </c>
      <c r="AF95" s="74" t="e">
        <f>AF93/(COUNTIFS($E$5:$E$30,$E93,AF$5:AF$30,"Alive")+COUNTIFS($E$5:$E$30,$E93,AF$5:AF$30,"Sacrificed")+COUNTIFS($E$5:$E$30,$E93,AF$5:AF$30,"Died"))*AE95</f>
        <v>#DIV/0!</v>
      </c>
      <c r="AG95" s="74" t="e">
        <f>AG93/(COUNTIFS($E$5:$E$30,$E93,AG$5:AG$30,"Alive")+COUNTIFS($E$5:$E$30,$E93,AG$5:AG$30,"Sacrificed")+COUNTIFS($E$5:$E$30,$E93,AG$5:AG$30,"Died"))*AF95</f>
        <v>#DIV/0!</v>
      </c>
      <c r="AH95" s="74" t="e">
        <f>AH93/(COUNTIFS($E$5:$E$30,$E93,AH$5:AH$30,"Alive")+COUNTIFS($E$5:$E$30,$E93,AH$5:AH$30,"Sacrificed")+COUNTIFS($E$5:$E$30,$E93,AH$5:AH$30,"Died"))*AG95</f>
        <v>#DIV/0!</v>
      </c>
      <c r="AI95" s="74" t="e">
        <f>AI93/(COUNTIFS($E$5:$E$30,$E93,AI$5:AI$30,"Alive")+COUNTIFS($E$5:$E$30,$E93,AI$5:AI$30,"Sacrificed")+COUNTIFS($E$5:$E$30,$E93,AI$5:AI$30,"Died"))*AH95</f>
        <v>#DIV/0!</v>
      </c>
      <c r="AJ95" s="74" t="e">
        <f>AJ93/(COUNTIFS($E$5:$E$30,$E93,AJ$5:AJ$30,"Alive")+COUNTIFS($E$5:$E$30,$E93,AJ$5:AJ$30,"Sacrificed")+COUNTIFS($E$5:$E$30,$E93,AJ$5:AJ$30,"Died"))*AI95</f>
        <v>#DIV/0!</v>
      </c>
      <c r="AK95" s="74" t="e">
        <f>AK93/(COUNTIFS($E$5:$E$30,$E93,AK$5:AK$30,"Alive")+COUNTIFS($E$5:$E$30,$E93,AK$5:AK$30,"Sacrificed")+COUNTIFS($E$5:$E$30,$E93,AK$5:AK$30,"Died"))*AJ95</f>
        <v>#DIV/0!</v>
      </c>
      <c r="AL95" s="74" t="e">
        <f>AL93/(COUNTIFS($E$5:$E$30,$E93,AL$5:AL$30,"Alive")+COUNTIFS($E$5:$E$30,$E93,AL$5:AL$30,"Sacrificed")+COUNTIFS($E$5:$E$30,$E93,AL$5:AL$30,"Died"))*AK95</f>
        <v>#DIV/0!</v>
      </c>
      <c r="AM95" s="74" t="e">
        <f>AM93/(COUNTIFS($E$5:$E$30,$E93,AM$5:AM$30,"Alive")+COUNTIFS($E$5:$E$30,$E93,AM$5:AM$30,"Sacrificed")+COUNTIFS($E$5:$E$30,$E93,AM$5:AM$30,"Died"))*AL95</f>
        <v>#DIV/0!</v>
      </c>
      <c r="AN95" s="74" t="e">
        <f>AN93/(COUNTIFS($E$5:$E$30,$E93,AN$5:AN$30,"Alive")+COUNTIFS($E$5:$E$30,$E93,AN$5:AN$30,"Sacrificed")+COUNTIFS($E$5:$E$30,$E93,AN$5:AN$30,"Died"))*AM95</f>
        <v>#DIV/0!</v>
      </c>
      <c r="AO95" s="74" t="e">
        <f>AO93/(COUNTIFS($E$5:$E$30,$E93,AO$5:AO$30,"Alive")+COUNTIFS($E$5:$E$30,$E93,AO$5:AO$30,"Sacrificed")+COUNTIFS($E$5:$E$30,$E93,AO$5:AO$30,"Died"))*AN95</f>
        <v>#DIV/0!</v>
      </c>
      <c r="AP95" s="74" t="e">
        <f>AP93/(COUNTIFS($E$5:$E$30,$E93,AP$5:AP$30,"Alive")+COUNTIFS($E$5:$E$30,$E93,AP$5:AP$30,"Sacrificed")+COUNTIFS($E$5:$E$30,$E93,AP$5:AP$30,"Died"))*AO95</f>
        <v>#DIV/0!</v>
      </c>
      <c r="AQ95" s="74" t="e">
        <f>AQ93/(COUNTIFS($E$5:$E$30,$E93,AQ$5:AQ$30,"Alive")+COUNTIFS($E$5:$E$30,$E93,AQ$5:AQ$30,"Sacrificed")+COUNTIFS($E$5:$E$30,$E93,AQ$5:AQ$30,"Died"))*AP95</f>
        <v>#DIV/0!</v>
      </c>
      <c r="AR95" s="74" t="e">
        <f>AR93/(COUNTIFS($E$5:$E$30,$E93,AR$5:AR$30,"Alive")+COUNTIFS($E$5:$E$30,$E93,AR$5:AR$30,"Sacrificed")+COUNTIFS($E$5:$E$30,$E93,AR$5:AR$30,"Died"))*AQ95</f>
        <v>#DIV/0!</v>
      </c>
      <c r="AS95" s="74" t="e">
        <f>AS93/(COUNTIFS($E$5:$E$30,$E93,AS$5:AS$30,"Alive")+COUNTIFS($E$5:$E$30,$E93,AS$5:AS$30,"Sacrificed")+COUNTIFS($E$5:$E$30,$E93,AS$5:AS$30,"Died"))*AR95</f>
        <v>#DIV/0!</v>
      </c>
      <c r="AT95" s="74" t="e">
        <f>AT93/(COUNTIFS($E$5:$E$30,$E93,AT$5:AT$30,"Alive")+COUNTIFS($E$5:$E$30,$E93,AT$5:AT$30,"Sacrificed")+COUNTIFS($E$5:$E$30,$E93,AT$5:AT$30,"Died"))*AS95</f>
        <v>#DIV/0!</v>
      </c>
      <c r="AU95" s="74" t="e">
        <f>AU93/(COUNTIFS($E$5:$E$30,$E93,AU$5:AU$30,"Alive")+COUNTIFS($E$5:$E$30,$E93,AU$5:AU$30,"Sacrificed")+COUNTIFS($E$5:$E$30,$E93,AU$5:AU$30,"Died"))*AT95</f>
        <v>#DIV/0!</v>
      </c>
      <c r="AV95" s="74" t="e">
        <f>AV93/(COUNTIFS($E$5:$E$30,$E93,AV$5:AV$30,"Alive")+COUNTIFS($E$5:$E$30,$E93,AV$5:AV$30,"Sacrificed")+COUNTIFS($E$5:$E$30,$E93,AV$5:AV$30,"Died"))*AU95</f>
        <v>#DIV/0!</v>
      </c>
      <c r="AW95" s="74" t="e">
        <f>AW93/(COUNTIFS($E$5:$E$30,$E93,AW$5:AW$30,"Alive")+COUNTIFS($E$5:$E$30,$E93,AW$5:AW$30,"Sacrificed")+COUNTIFS($E$5:$E$30,$E93,AW$5:AW$30,"Died"))*AV95</f>
        <v>#DIV/0!</v>
      </c>
      <c r="AX95" s="74" t="e">
        <f>AX93/(COUNTIFS($E$5:$E$30,$E93,AX$5:AX$30,"Alive")+COUNTIFS($E$5:$E$30,$E93,AX$5:AX$30,"Sacrificed")+COUNTIFS($E$5:$E$30,$E93,AX$5:AX$30,"Died"))*AW95</f>
        <v>#DIV/0!</v>
      </c>
      <c r="AY95" s="74" t="e">
        <f>AY93/(COUNTIFS($E$5:$E$30,$E93,AY$5:AY$30,"Alive")+COUNTIFS($E$5:$E$30,$E93,AY$5:AY$30,"Sacrificed")+COUNTIFS($E$5:$E$30,$E93,AY$5:AY$30,"Died"))*AX95</f>
        <v>#DIV/0!</v>
      </c>
      <c r="AZ95" s="74" t="e">
        <f>AZ93/(COUNTIFS($E$5:$E$30,$E93,AZ$5:AZ$30,"Alive")+COUNTIFS($E$5:$E$30,$E93,AZ$5:AZ$30,"Sacrificed")+COUNTIFS($E$5:$E$30,$E93,AZ$5:AZ$30,"Died"))*AY95</f>
        <v>#DIV/0!</v>
      </c>
      <c r="BA95" s="74" t="e">
        <f>BA93/(COUNTIFS($E$5:$E$30,$E93,BA$5:BA$30,"Alive")+COUNTIFS($E$5:$E$30,$E93,BA$5:BA$30,"Sacrificed")+COUNTIFS($E$5:$E$30,$E93,BA$5:BA$30,"Died"))*AZ95</f>
        <v>#DIV/0!</v>
      </c>
      <c r="BB95" s="3"/>
    </row>
    <row r="97" spans="1:54" ht="14.25" customHeight="1">
      <c r="A97" s="113"/>
      <c r="E97" s="118" t="str">
        <f>'FIG6 Groups'!C21</f>
        <v>Group 16</v>
      </c>
      <c r="H97" s="118" t="str">
        <f>E97</f>
        <v>Group 16</v>
      </c>
      <c r="I97" s="144" t="s">
        <v>52</v>
      </c>
      <c r="J97" s="78">
        <f>COUNTIFS($E$5:$E$30,$E97,J$5:J$30,"Alive")</f>
        <v>0</v>
      </c>
      <c r="K97" s="78">
        <f>COUNTIFS($E$5:$E$30,$E97,K$5:K$30,"Alive")</f>
        <v>0</v>
      </c>
      <c r="L97" s="78">
        <f>COUNTIFS($E$5:$E$30,$E97,L$5:L$30,"Alive")</f>
        <v>0</v>
      </c>
      <c r="M97" s="78">
        <f>COUNTIFS($E$5:$E$30,$E97,M$5:M$30,"Alive")</f>
        <v>0</v>
      </c>
      <c r="N97" s="78">
        <f>COUNTIFS($E$5:$E$30,$E97,N$5:N$30,"Alive")</f>
        <v>0</v>
      </c>
      <c r="O97" s="78">
        <f>COUNTIFS($E$5:$E$30,$E97,O$5:O$30,"Alive")</f>
        <v>0</v>
      </c>
      <c r="P97" s="78">
        <f>COUNTIFS($E$5:$E$30,$E97,P$5:P$30,"Alive")</f>
        <v>0</v>
      </c>
      <c r="Q97" s="78">
        <f>COUNTIFS($E$5:$E$30,$E97,Q$5:Q$30,"Alive")</f>
        <v>0</v>
      </c>
      <c r="R97" s="78">
        <f>COUNTIFS($E$5:$E$30,$E97,R$5:R$30,"Alive")</f>
        <v>0</v>
      </c>
      <c r="S97" s="78">
        <f>COUNTIFS($E$5:$E$30,$E97,S$5:S$30,"Alive")</f>
        <v>0</v>
      </c>
      <c r="T97" s="78">
        <f>COUNTIFS($E$5:$E$30,$E97,T$5:T$30,"Alive")</f>
        <v>0</v>
      </c>
      <c r="U97" s="78">
        <f>COUNTIFS($E$5:$E$30,$E97,U$5:U$30,"Alive")</f>
        <v>0</v>
      </c>
      <c r="V97" s="78">
        <f>COUNTIFS($E$5:$E$30,$E97,V$5:V$30,"Alive")</f>
        <v>0</v>
      </c>
      <c r="W97" s="78">
        <f>COUNTIFS($E$5:$E$30,$E97,W$5:W$30,"Alive")</f>
        <v>0</v>
      </c>
      <c r="X97" s="78">
        <f>COUNTIFS($E$5:$E$30,$E97,X$5:X$30,"Alive")</f>
        <v>0</v>
      </c>
      <c r="Y97" s="78">
        <f>COUNTIFS($E$5:$E$30,$E97,Y$5:Y$30,"Alive")</f>
        <v>0</v>
      </c>
      <c r="Z97" s="78">
        <f>COUNTIFS($E$5:$E$30,$E97,Z$5:Z$30,"Alive")</f>
        <v>0</v>
      </c>
      <c r="AA97" s="78">
        <f>COUNTIFS($E$5:$E$30,$E97,AA$5:AA$30,"Alive")</f>
        <v>0</v>
      </c>
      <c r="AB97" s="78">
        <f>COUNTIFS($E$5:$E$30,$E97,AB$5:AB$30,"Alive")</f>
        <v>0</v>
      </c>
      <c r="AC97" s="78">
        <f>COUNTIFS($E$5:$E$30,$E97,AC$5:AC$30,"Alive")</f>
        <v>0</v>
      </c>
      <c r="AD97" s="78">
        <f>COUNTIFS($E$5:$E$30,$E97,AD$5:AD$30,"Alive")</f>
        <v>0</v>
      </c>
      <c r="AE97" s="78">
        <f>COUNTIFS($E$5:$E$30,$E97,AE$5:AE$30,"Alive")</f>
        <v>0</v>
      </c>
      <c r="AF97" s="78">
        <f>COUNTIFS($E$5:$E$30,$E97,AF$5:AF$30,"Alive")</f>
        <v>0</v>
      </c>
      <c r="AG97" s="78">
        <f>COUNTIFS($E$5:$E$30,$E97,AG$5:AG$30,"Alive")</f>
        <v>0</v>
      </c>
      <c r="AH97" s="78">
        <f>COUNTIFS($E$5:$E$30,$E97,AH$5:AH$30,"Alive")</f>
        <v>0</v>
      </c>
      <c r="AI97" s="78">
        <f>COUNTIFS($E$5:$E$30,$E97,AI$5:AI$30,"Alive")</f>
        <v>0</v>
      </c>
      <c r="AJ97" s="78">
        <f>COUNTIFS($E$5:$E$30,$E97,AJ$5:AJ$30,"Alive")</f>
        <v>0</v>
      </c>
      <c r="AK97" s="78">
        <f>COUNTIFS($E$5:$E$30,$E97,AK$5:AK$30,"Alive")</f>
        <v>0</v>
      </c>
      <c r="AL97" s="78">
        <f>COUNTIFS($E$5:$E$30,$E97,AL$5:AL$30,"Alive")</f>
        <v>0</v>
      </c>
      <c r="AM97" s="78">
        <f>COUNTIFS($E$5:$E$30,$E97,AM$5:AM$30,"Alive")</f>
        <v>0</v>
      </c>
      <c r="AN97" s="78">
        <f>COUNTIFS($E$5:$E$30,$E97,AN$5:AN$30,"Alive")</f>
        <v>0</v>
      </c>
      <c r="AO97" s="78">
        <f>COUNTIFS($E$5:$E$30,$E97,AO$5:AO$30,"Alive")</f>
        <v>0</v>
      </c>
      <c r="AP97" s="78">
        <f>COUNTIFS($E$5:$E$30,$E97,AP$5:AP$30,"Alive")</f>
        <v>0</v>
      </c>
      <c r="AQ97" s="78">
        <f>COUNTIFS($E$5:$E$30,$E97,AQ$5:AQ$30,"Alive")</f>
        <v>0</v>
      </c>
      <c r="AR97" s="78">
        <f>COUNTIFS($E$5:$E$30,$E97,AR$5:AR$30,"Alive")</f>
        <v>0</v>
      </c>
      <c r="AS97" s="78">
        <f>COUNTIFS($E$5:$E$30,$E97,AS$5:AS$30,"Alive")</f>
        <v>0</v>
      </c>
      <c r="AT97" s="78">
        <f>COUNTIFS($E$5:$E$30,$E97,AT$5:AT$30,"Alive")</f>
        <v>0</v>
      </c>
      <c r="AU97" s="78">
        <f>COUNTIFS($E$5:$E$30,$E97,AU$5:AU$30,"Alive")</f>
        <v>0</v>
      </c>
      <c r="AV97" s="78">
        <f>COUNTIFS($E$5:$E$30,$E97,AV$5:AV$30,"Alive")</f>
        <v>0</v>
      </c>
      <c r="AW97" s="78">
        <f>COUNTIFS($E$5:$E$30,$E97,AW$5:AW$30,"Alive")</f>
        <v>0</v>
      </c>
      <c r="AX97" s="78">
        <f>COUNTIFS($E$5:$E$30,$E97,AX$5:AX$30,"Alive")</f>
        <v>0</v>
      </c>
      <c r="AY97" s="78">
        <f>COUNTIFS($E$5:$E$30,$E97,AY$5:AY$30,"Alive")</f>
        <v>0</v>
      </c>
      <c r="AZ97" s="78">
        <f>COUNTIFS($E$5:$E$30,$E97,AZ$5:AZ$30,"Alive")</f>
        <v>0</v>
      </c>
      <c r="BA97" s="78">
        <f>COUNTIFS($E$5:$E$30,$E97,BA$5:BA$30,"Alive")</f>
        <v>0</v>
      </c>
      <c r="BB97" s="76"/>
    </row>
    <row r="98" spans="1:54" ht="14.25" customHeight="1">
      <c r="A98" s="113"/>
      <c r="E98" s="93"/>
      <c r="H98" s="93"/>
      <c r="I98" s="144" t="s">
        <v>51</v>
      </c>
      <c r="J98" s="81">
        <f>COUNTIFS($E$5:$E$30,$E97,J$5:J$30,"Censored")</f>
        <v>0</v>
      </c>
      <c r="K98" s="81">
        <f>COUNTIFS($E$5:$E$30,$E97,K$5:K$30,"Censored")</f>
        <v>0</v>
      </c>
      <c r="L98" s="81">
        <f>COUNTIFS($E$5:$E$30,$E97,L$5:L$30,"Censored")</f>
        <v>0</v>
      </c>
      <c r="M98" s="81">
        <f>COUNTIFS($E$5:$E$30,$E97,M$5:M$30,"Censored")</f>
        <v>0</v>
      </c>
      <c r="N98" s="81">
        <f>COUNTIFS($E$5:$E$30,$E97,N$5:N$30,"Censored")</f>
        <v>0</v>
      </c>
      <c r="O98" s="81">
        <f>COUNTIFS($E$5:$E$30,$E97,O$5:O$30,"Censored")</f>
        <v>0</v>
      </c>
      <c r="P98" s="81">
        <f>COUNTIFS($E$5:$E$30,$E97,P$5:P$30,"Censored")</f>
        <v>0</v>
      </c>
      <c r="Q98" s="81">
        <f>COUNTIFS($E$5:$E$30,$E97,Q$5:Q$30,"Censored")</f>
        <v>0</v>
      </c>
      <c r="R98" s="81">
        <f>COUNTIFS($E$5:$E$30,$E97,R$5:R$30,"Censored")</f>
        <v>0</v>
      </c>
      <c r="S98" s="81">
        <f>COUNTIFS($E$5:$E$30,$E97,S$5:S$30,"Censored")</f>
        <v>0</v>
      </c>
      <c r="T98" s="81">
        <f>COUNTIFS($E$5:$E$30,$E97,T$5:T$30,"Censored")</f>
        <v>0</v>
      </c>
      <c r="U98" s="81">
        <f>COUNTIFS($E$5:$E$30,$E97,U$5:U$30,"Censored")</f>
        <v>0</v>
      </c>
      <c r="V98" s="81">
        <f>COUNTIFS($E$5:$E$30,$E97,V$5:V$30,"Censored")</f>
        <v>0</v>
      </c>
      <c r="W98" s="81">
        <f>COUNTIFS($E$5:$E$30,$E97,W$5:W$30,"Censored")</f>
        <v>0</v>
      </c>
      <c r="X98" s="81">
        <f>COUNTIFS($E$5:$E$30,$E97,X$5:X$30,"Censored")</f>
        <v>0</v>
      </c>
      <c r="Y98" s="81">
        <f>COUNTIFS($E$5:$E$30,$E97,Y$5:Y$30,"Censored")</f>
        <v>0</v>
      </c>
      <c r="Z98" s="81">
        <f>COUNTIFS($E$5:$E$30,$E97,Z$5:Z$30,"Censored")</f>
        <v>0</v>
      </c>
      <c r="AA98" s="81">
        <f>COUNTIFS($E$5:$E$30,$E97,AA$5:AA$30,"Censored")</f>
        <v>0</v>
      </c>
      <c r="AB98" s="81">
        <f>COUNTIFS($E$5:$E$30,$E97,AB$5:AB$30,"Censored")</f>
        <v>0</v>
      </c>
      <c r="AC98" s="81">
        <f>COUNTIFS($E$5:$E$30,$E97,AC$5:AC$30,"Censored")</f>
        <v>0</v>
      </c>
      <c r="AD98" s="81">
        <f>COUNTIFS($E$5:$E$30,$E97,AD$5:AD$30,"Censored")</f>
        <v>0</v>
      </c>
      <c r="AE98" s="81">
        <f>COUNTIFS($E$5:$E$30,$E97,AE$5:AE$30,"Censored")</f>
        <v>0</v>
      </c>
      <c r="AF98" s="81">
        <f>COUNTIFS($E$5:$E$30,$E97,AF$5:AF$30,"Censored")</f>
        <v>0</v>
      </c>
      <c r="AG98" s="81">
        <f>COUNTIFS($E$5:$E$30,$E97,AG$5:AG$30,"Censored")</f>
        <v>0</v>
      </c>
      <c r="AH98" s="81">
        <f>COUNTIFS($E$5:$E$30,$E97,AH$5:AH$30,"Censored")</f>
        <v>0</v>
      </c>
      <c r="AI98" s="81">
        <f>COUNTIFS($E$5:$E$30,$E97,AI$5:AI$30,"Censored")</f>
        <v>0</v>
      </c>
      <c r="AJ98" s="81">
        <f>COUNTIFS($E$5:$E$30,$E97,AJ$5:AJ$30,"Censored")</f>
        <v>0</v>
      </c>
      <c r="AK98" s="81">
        <f>COUNTIFS($E$5:$E$30,$E97,AK$5:AK$30,"Censored")</f>
        <v>0</v>
      </c>
      <c r="AL98" s="81">
        <f>COUNTIFS($E$5:$E$30,$E97,AL$5:AL$30,"Censored")</f>
        <v>0</v>
      </c>
      <c r="AM98" s="81">
        <f>COUNTIFS($E$5:$E$30,$E97,AM$5:AM$30,"Censored")</f>
        <v>0</v>
      </c>
      <c r="AN98" s="81">
        <f>COUNTIFS($E$5:$E$30,$E97,AN$5:AN$30,"Censored")</f>
        <v>0</v>
      </c>
      <c r="AO98" s="81">
        <f>COUNTIFS($E$5:$E$30,$E97,AO$5:AO$30,"Censored")</f>
        <v>0</v>
      </c>
      <c r="AP98" s="81">
        <f>COUNTIFS($E$5:$E$30,$E97,AP$5:AP$30,"Censored")</f>
        <v>0</v>
      </c>
      <c r="AQ98" s="81">
        <f>COUNTIFS($E$5:$E$30,$E97,AQ$5:AQ$30,"Censored")</f>
        <v>0</v>
      </c>
      <c r="AR98" s="81">
        <f>COUNTIFS($E$5:$E$30,$E97,AR$5:AR$30,"Censored")</f>
        <v>0</v>
      </c>
      <c r="AS98" s="81">
        <f>COUNTIFS($E$5:$E$30,$E97,AS$5:AS$30,"Censored")</f>
        <v>0</v>
      </c>
      <c r="AT98" s="81">
        <f>COUNTIFS($E$5:$E$30,$E97,AT$5:AT$30,"Censored")</f>
        <v>0</v>
      </c>
      <c r="AU98" s="81">
        <f>COUNTIFS($E$5:$E$30,$E97,AU$5:AU$30,"Censored")</f>
        <v>0</v>
      </c>
      <c r="AV98" s="81">
        <f>COUNTIFS($E$5:$E$30,$E97,AV$5:AV$30,"Censored")</f>
        <v>0</v>
      </c>
      <c r="AW98" s="81">
        <f>COUNTIFS($E$5:$E$30,$E97,AW$5:AW$30,"Censored")</f>
        <v>0</v>
      </c>
      <c r="AX98" s="81">
        <f>COUNTIFS($E$5:$E$30,$E97,AX$5:AX$30,"Censored")</f>
        <v>0</v>
      </c>
      <c r="AY98" s="81">
        <f>COUNTIFS($E$5:$E$30,$E97,AY$5:AY$30,"Censored")</f>
        <v>0</v>
      </c>
      <c r="AZ98" s="81">
        <f>COUNTIFS($E$5:$E$30,$E97,AZ$5:AZ$30,"Censored")</f>
        <v>0</v>
      </c>
      <c r="BA98" s="81">
        <f>COUNTIFS($E$5:$E$30,$E97,BA$5:BA$30,"Censored")</f>
        <v>0</v>
      </c>
      <c r="BB98" s="76"/>
    </row>
    <row r="99" spans="1:54" ht="14.25" customHeight="1">
      <c r="A99" s="46"/>
      <c r="B99" s="45"/>
      <c r="C99" s="47"/>
      <c r="D99" s="45"/>
      <c r="E99" s="92"/>
      <c r="F99" s="71"/>
      <c r="G99" s="82"/>
      <c r="H99" s="93"/>
      <c r="I99" s="144" t="s">
        <v>53</v>
      </c>
      <c r="J99" s="74" t="e">
        <f>J97/(COUNTIFS($E$5:$E$30,$E97,J$5:J$30,"Alive")+COUNTIFS($E$5:$E$30,$E97,J$5:J$30,"Sacrificed")+COUNTIFS($E$5:$E$30,$E97,J$5:J$30,"Died"))</f>
        <v>#DIV/0!</v>
      </c>
      <c r="K99" s="74" t="e">
        <f>K97/(COUNTIFS($E$5:$E$30,$E97,K$5:K$30,"Alive")+COUNTIFS($E$5:$E$30,$E97,K$5:K$30,"Sacrificed")+COUNTIFS($E$5:$E$30,$E97,K$5:K$30,"Died"))*J99</f>
        <v>#DIV/0!</v>
      </c>
      <c r="L99" s="74" t="e">
        <f>L97/(COUNTIFS($E$5:$E$30,$E97,L$5:L$30,"Alive")+COUNTIFS($E$5:$E$30,$E97,L$5:L$30,"Sacrificed")+COUNTIFS($E$5:$E$30,$E97,L$5:L$30,"Died"))*K99</f>
        <v>#DIV/0!</v>
      </c>
      <c r="M99" s="74" t="e">
        <f>M97/(COUNTIFS($E$5:$E$30,$E97,M$5:M$30,"Alive")+COUNTIFS($E$5:$E$30,$E97,M$5:M$30,"Sacrificed")+COUNTIFS($E$5:$E$30,$E97,M$5:M$30,"Died"))*L99</f>
        <v>#DIV/0!</v>
      </c>
      <c r="N99" s="74" t="e">
        <f>N97/(COUNTIFS($E$5:$E$30,$E97,N$5:N$30,"Alive")+COUNTIFS($E$5:$E$30,$E97,N$5:N$30,"Sacrificed")+COUNTIFS($E$5:$E$30,$E97,N$5:N$30,"Died"))*M99</f>
        <v>#DIV/0!</v>
      </c>
      <c r="O99" s="74" t="e">
        <f>O97/(COUNTIFS($E$5:$E$30,$E97,O$5:O$30,"Alive")+COUNTIFS($E$5:$E$30,$E97,O$5:O$30,"Sacrificed")+COUNTIFS($E$5:$E$30,$E97,O$5:O$30,"Died"))*N99</f>
        <v>#DIV/0!</v>
      </c>
      <c r="P99" s="74" t="e">
        <f>P97/(COUNTIFS($E$5:$E$30,$E97,P$5:P$30,"Alive")+COUNTIFS($E$5:$E$30,$E97,P$5:P$30,"Sacrificed")+COUNTIFS($E$5:$E$30,$E97,P$5:P$30,"Died"))*O99</f>
        <v>#DIV/0!</v>
      </c>
      <c r="Q99" s="74" t="e">
        <f>Q97/(COUNTIFS($E$5:$E$30,$E97,Q$5:Q$30,"Alive")+COUNTIFS($E$5:$E$30,$E97,Q$5:Q$30,"Sacrificed")+COUNTIFS($E$5:$E$30,$E97,Q$5:Q$30,"Died"))*P99</f>
        <v>#DIV/0!</v>
      </c>
      <c r="R99" s="74" t="e">
        <f>R97/(COUNTIFS($E$5:$E$30,$E97,R$5:R$30,"Alive")+COUNTIFS($E$5:$E$30,$E97,R$5:R$30,"Sacrificed")+COUNTIFS($E$5:$E$30,$E97,R$5:R$30,"Died"))*Q99</f>
        <v>#DIV/0!</v>
      </c>
      <c r="S99" s="74" t="e">
        <f>S97/(COUNTIFS($E$5:$E$30,$E97,S$5:S$30,"Alive")+COUNTIFS($E$5:$E$30,$E97,S$5:S$30,"Sacrificed")+COUNTIFS($E$5:$E$30,$E97,S$5:S$30,"Died"))*R99</f>
        <v>#DIV/0!</v>
      </c>
      <c r="T99" s="74" t="e">
        <f>T97/(COUNTIFS($E$5:$E$30,$E97,T$5:T$30,"Alive")+COUNTIFS($E$5:$E$30,$E97,T$5:T$30,"Sacrificed")+COUNTIFS($E$5:$E$30,$E97,T$5:T$30,"Died"))*S99</f>
        <v>#DIV/0!</v>
      </c>
      <c r="U99" s="74" t="e">
        <f>U97/(COUNTIFS($E$5:$E$30,$E97,U$5:U$30,"Alive")+COUNTIFS($E$5:$E$30,$E97,U$5:U$30,"Sacrificed")+COUNTIFS($E$5:$E$30,$E97,U$5:U$30,"Died"))*T99</f>
        <v>#DIV/0!</v>
      </c>
      <c r="V99" s="74" t="e">
        <f>V97/(COUNTIFS($E$5:$E$30,$E97,V$5:V$30,"Alive")+COUNTIFS($E$5:$E$30,$E97,V$5:V$30,"Sacrificed")+COUNTIFS($E$5:$E$30,$E97,V$5:V$30,"Died"))*U99</f>
        <v>#DIV/0!</v>
      </c>
      <c r="W99" s="74" t="e">
        <f>W97/(COUNTIFS($E$5:$E$30,$E97,W$5:W$30,"Alive")+COUNTIFS($E$5:$E$30,$E97,W$5:W$30,"Sacrificed")+COUNTIFS($E$5:$E$30,$E97,W$5:W$30,"Died"))*V99</f>
        <v>#DIV/0!</v>
      </c>
      <c r="X99" s="74" t="e">
        <f>X97/(COUNTIFS($E$5:$E$30,$E97,X$5:X$30,"Alive")+COUNTIFS($E$5:$E$30,$E97,X$5:X$30,"Sacrificed")+COUNTIFS($E$5:$E$30,$E97,X$5:X$30,"Died"))*W99</f>
        <v>#DIV/0!</v>
      </c>
      <c r="Y99" s="74" t="e">
        <f>Y97/(COUNTIFS($E$5:$E$30,$E97,Y$5:Y$30,"Alive")+COUNTIFS($E$5:$E$30,$E97,Y$5:Y$30,"Sacrificed")+COUNTIFS($E$5:$E$30,$E97,Y$5:Y$30,"Died"))*X99</f>
        <v>#DIV/0!</v>
      </c>
      <c r="Z99" s="74" t="e">
        <f>Z97/(COUNTIFS($E$5:$E$30,$E97,Z$5:Z$30,"Alive")+COUNTIFS($E$5:$E$30,$E97,Z$5:Z$30,"Sacrificed")+COUNTIFS($E$5:$E$30,$E97,Z$5:Z$30,"Died"))*Y99</f>
        <v>#DIV/0!</v>
      </c>
      <c r="AA99" s="74" t="e">
        <f>AA97/(COUNTIFS($E$5:$E$30,$E97,AA$5:AA$30,"Alive")+COUNTIFS($E$5:$E$30,$E97,AA$5:AA$30,"Sacrificed")+COUNTIFS($E$5:$E$30,$E97,AA$5:AA$30,"Died"))*Z99</f>
        <v>#DIV/0!</v>
      </c>
      <c r="AB99" s="74" t="e">
        <f>AB97/(COUNTIFS($E$5:$E$30,$E97,AB$5:AB$30,"Alive")+COUNTIFS($E$5:$E$30,$E97,AB$5:AB$30,"Sacrificed")+COUNTIFS($E$5:$E$30,$E97,AB$5:AB$30,"Died"))*AA99</f>
        <v>#DIV/0!</v>
      </c>
      <c r="AC99" s="74" t="e">
        <f>AC97/(COUNTIFS($E$5:$E$30,$E97,AC$5:AC$30,"Alive")+COUNTIFS($E$5:$E$30,$E97,AC$5:AC$30,"Sacrificed")+COUNTIFS($E$5:$E$30,$E97,AC$5:AC$30,"Died"))*AB99</f>
        <v>#DIV/0!</v>
      </c>
      <c r="AD99" s="74" t="e">
        <f>AD97/(COUNTIFS($E$5:$E$30,$E97,AD$5:AD$30,"Alive")+COUNTIFS($E$5:$E$30,$E97,AD$5:AD$30,"Sacrificed")+COUNTIFS($E$5:$E$30,$E97,AD$5:AD$30,"Died"))*AC99</f>
        <v>#DIV/0!</v>
      </c>
      <c r="AE99" s="74" t="e">
        <f>AE97/(COUNTIFS($E$5:$E$30,$E97,AE$5:AE$30,"Alive")+COUNTIFS($E$5:$E$30,$E97,AE$5:AE$30,"Sacrificed")+COUNTIFS($E$5:$E$30,$E97,AE$5:AE$30,"Died"))*AD99</f>
        <v>#DIV/0!</v>
      </c>
      <c r="AF99" s="74" t="e">
        <f>AF97/(COUNTIFS($E$5:$E$30,$E97,AF$5:AF$30,"Alive")+COUNTIFS($E$5:$E$30,$E97,AF$5:AF$30,"Sacrificed")+COUNTIFS($E$5:$E$30,$E97,AF$5:AF$30,"Died"))*AE99</f>
        <v>#DIV/0!</v>
      </c>
      <c r="AG99" s="74" t="e">
        <f>AG97/(COUNTIFS($E$5:$E$30,$E97,AG$5:AG$30,"Alive")+COUNTIFS($E$5:$E$30,$E97,AG$5:AG$30,"Sacrificed")+COUNTIFS($E$5:$E$30,$E97,AG$5:AG$30,"Died"))*AF99</f>
        <v>#DIV/0!</v>
      </c>
      <c r="AH99" s="74" t="e">
        <f>AH97/(COUNTIFS($E$5:$E$30,$E97,AH$5:AH$30,"Alive")+COUNTIFS($E$5:$E$30,$E97,AH$5:AH$30,"Sacrificed")+COUNTIFS($E$5:$E$30,$E97,AH$5:AH$30,"Died"))*AG99</f>
        <v>#DIV/0!</v>
      </c>
      <c r="AI99" s="74" t="e">
        <f>AI97/(COUNTIFS($E$5:$E$30,$E97,AI$5:AI$30,"Alive")+COUNTIFS($E$5:$E$30,$E97,AI$5:AI$30,"Sacrificed")+COUNTIFS($E$5:$E$30,$E97,AI$5:AI$30,"Died"))*AH99</f>
        <v>#DIV/0!</v>
      </c>
      <c r="AJ99" s="74" t="e">
        <f>AJ97/(COUNTIFS($E$5:$E$30,$E97,AJ$5:AJ$30,"Alive")+COUNTIFS($E$5:$E$30,$E97,AJ$5:AJ$30,"Sacrificed")+COUNTIFS($E$5:$E$30,$E97,AJ$5:AJ$30,"Died"))*AI99</f>
        <v>#DIV/0!</v>
      </c>
      <c r="AK99" s="74" t="e">
        <f>AK97/(COUNTIFS($E$5:$E$30,$E97,AK$5:AK$30,"Alive")+COUNTIFS($E$5:$E$30,$E97,AK$5:AK$30,"Sacrificed")+COUNTIFS($E$5:$E$30,$E97,AK$5:AK$30,"Died"))*AJ99</f>
        <v>#DIV/0!</v>
      </c>
      <c r="AL99" s="74" t="e">
        <f>AL97/(COUNTIFS($E$5:$E$30,$E97,AL$5:AL$30,"Alive")+COUNTIFS($E$5:$E$30,$E97,AL$5:AL$30,"Sacrificed")+COUNTIFS($E$5:$E$30,$E97,AL$5:AL$30,"Died"))*AK99</f>
        <v>#DIV/0!</v>
      </c>
      <c r="AM99" s="74" t="e">
        <f>AM97/(COUNTIFS($E$5:$E$30,$E97,AM$5:AM$30,"Alive")+COUNTIFS($E$5:$E$30,$E97,AM$5:AM$30,"Sacrificed")+COUNTIFS($E$5:$E$30,$E97,AM$5:AM$30,"Died"))*AL99</f>
        <v>#DIV/0!</v>
      </c>
      <c r="AN99" s="74" t="e">
        <f>AN97/(COUNTIFS($E$5:$E$30,$E97,AN$5:AN$30,"Alive")+COUNTIFS($E$5:$E$30,$E97,AN$5:AN$30,"Sacrificed")+COUNTIFS($E$5:$E$30,$E97,AN$5:AN$30,"Died"))*AM99</f>
        <v>#DIV/0!</v>
      </c>
      <c r="AO99" s="74" t="e">
        <f>AO97/(COUNTIFS($E$5:$E$30,$E97,AO$5:AO$30,"Alive")+COUNTIFS($E$5:$E$30,$E97,AO$5:AO$30,"Sacrificed")+COUNTIFS($E$5:$E$30,$E97,AO$5:AO$30,"Died"))*AN99</f>
        <v>#DIV/0!</v>
      </c>
      <c r="AP99" s="74" t="e">
        <f>AP97/(COUNTIFS($E$5:$E$30,$E97,AP$5:AP$30,"Alive")+COUNTIFS($E$5:$E$30,$E97,AP$5:AP$30,"Sacrificed")+COUNTIFS($E$5:$E$30,$E97,AP$5:AP$30,"Died"))*AO99</f>
        <v>#DIV/0!</v>
      </c>
      <c r="AQ99" s="74" t="e">
        <f>AQ97/(COUNTIFS($E$5:$E$30,$E97,AQ$5:AQ$30,"Alive")+COUNTIFS($E$5:$E$30,$E97,AQ$5:AQ$30,"Sacrificed")+COUNTIFS($E$5:$E$30,$E97,AQ$5:AQ$30,"Died"))*AP99</f>
        <v>#DIV/0!</v>
      </c>
      <c r="AR99" s="74" t="e">
        <f>AR97/(COUNTIFS($E$5:$E$30,$E97,AR$5:AR$30,"Alive")+COUNTIFS($E$5:$E$30,$E97,AR$5:AR$30,"Sacrificed")+COUNTIFS($E$5:$E$30,$E97,AR$5:AR$30,"Died"))*AQ99</f>
        <v>#DIV/0!</v>
      </c>
      <c r="AS99" s="74" t="e">
        <f>AS97/(COUNTIFS($E$5:$E$30,$E97,AS$5:AS$30,"Alive")+COUNTIFS($E$5:$E$30,$E97,AS$5:AS$30,"Sacrificed")+COUNTIFS($E$5:$E$30,$E97,AS$5:AS$30,"Died"))*AR99</f>
        <v>#DIV/0!</v>
      </c>
      <c r="AT99" s="74" t="e">
        <f>AT97/(COUNTIFS($E$5:$E$30,$E97,AT$5:AT$30,"Alive")+COUNTIFS($E$5:$E$30,$E97,AT$5:AT$30,"Sacrificed")+COUNTIFS($E$5:$E$30,$E97,AT$5:AT$30,"Died"))*AS99</f>
        <v>#DIV/0!</v>
      </c>
      <c r="AU99" s="74" t="e">
        <f>AU97/(COUNTIFS($E$5:$E$30,$E97,AU$5:AU$30,"Alive")+COUNTIFS($E$5:$E$30,$E97,AU$5:AU$30,"Sacrificed")+COUNTIFS($E$5:$E$30,$E97,AU$5:AU$30,"Died"))*AT99</f>
        <v>#DIV/0!</v>
      </c>
      <c r="AV99" s="74" t="e">
        <f>AV97/(COUNTIFS($E$5:$E$30,$E97,AV$5:AV$30,"Alive")+COUNTIFS($E$5:$E$30,$E97,AV$5:AV$30,"Sacrificed")+COUNTIFS($E$5:$E$30,$E97,AV$5:AV$30,"Died"))*AU99</f>
        <v>#DIV/0!</v>
      </c>
      <c r="AW99" s="74" t="e">
        <f>AW97/(COUNTIFS($E$5:$E$30,$E97,AW$5:AW$30,"Alive")+COUNTIFS($E$5:$E$30,$E97,AW$5:AW$30,"Sacrificed")+COUNTIFS($E$5:$E$30,$E97,AW$5:AW$30,"Died"))*AV99</f>
        <v>#DIV/0!</v>
      </c>
      <c r="AX99" s="74" t="e">
        <f>AX97/(COUNTIFS($E$5:$E$30,$E97,AX$5:AX$30,"Alive")+COUNTIFS($E$5:$E$30,$E97,AX$5:AX$30,"Sacrificed")+COUNTIFS($E$5:$E$30,$E97,AX$5:AX$30,"Died"))*AW99</f>
        <v>#DIV/0!</v>
      </c>
      <c r="AY99" s="74" t="e">
        <f>AY97/(COUNTIFS($E$5:$E$30,$E97,AY$5:AY$30,"Alive")+COUNTIFS($E$5:$E$30,$E97,AY$5:AY$30,"Sacrificed")+COUNTIFS($E$5:$E$30,$E97,AY$5:AY$30,"Died"))*AX99</f>
        <v>#DIV/0!</v>
      </c>
      <c r="AZ99" s="74" t="e">
        <f>AZ97/(COUNTIFS($E$5:$E$30,$E97,AZ$5:AZ$30,"Alive")+COUNTIFS($E$5:$E$30,$E97,AZ$5:AZ$30,"Sacrificed")+COUNTIFS($E$5:$E$30,$E97,AZ$5:AZ$30,"Died"))*AY99</f>
        <v>#DIV/0!</v>
      </c>
      <c r="BA99" s="74" t="e">
        <f>BA97/(COUNTIFS($E$5:$E$30,$E97,BA$5:BA$30,"Alive")+COUNTIFS($E$5:$E$30,$E97,BA$5:BA$30,"Sacrificed")+COUNTIFS($E$5:$E$30,$E97,BA$5:BA$30,"Died"))*AZ99</f>
        <v>#DIV/0!</v>
      </c>
      <c r="BB99" s="3"/>
    </row>
  </sheetData>
  <autoFilter ref="A4:BA30" xr:uid="{00000000-0009-0000-0000-000003000000}">
    <sortState xmlns:xlrd2="http://schemas.microsoft.com/office/spreadsheetml/2017/richdata2" ref="A5:AQ30">
      <sortCondition ref="B4:B30"/>
    </sortState>
  </autoFilter>
  <mergeCells count="2">
    <mergeCell ref="F2:G2"/>
    <mergeCell ref="H33:H35"/>
  </mergeCells>
  <dataValidations count="2">
    <dataValidation type="list" allowBlank="1" showInputMessage="1" showErrorMessage="1" sqref="E37:E1048576 E5:E30" xr:uid="{00000000-0002-0000-0300-000001000000}">
      <formula1>Groups</formula1>
    </dataValidation>
    <dataValidation type="list" allowBlank="1" showInputMessage="1" showErrorMessage="1" sqref="J5:BA30" xr:uid="{00000000-0002-0000-0300-000000000000}">
      <formula1>"Alive,Sacrificed,Censored,Died"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"/>
  <sheetViews>
    <sheetView workbookViewId="0">
      <selection activeCell="J29" sqref="J29"/>
    </sheetView>
  </sheetViews>
  <sheetFormatPr defaultRowHeight="15"/>
  <cols>
    <col min="1" max="1" width="9.140625" style="113"/>
    <col min="2" max="2" width="7.140625" style="114" customWidth="1"/>
    <col min="3" max="3" width="28.85546875" style="113" bestFit="1" customWidth="1"/>
    <col min="4" max="4" width="3.5703125" style="113" customWidth="1"/>
    <col min="5" max="5" width="9.140625" style="113"/>
    <col min="6" max="7" width="9.140625" style="117"/>
    <col min="8" max="9" width="10" style="117" customWidth="1"/>
    <col min="10" max="10" width="11.85546875" style="113" customWidth="1"/>
    <col min="11" max="11" width="11.140625" style="113" customWidth="1"/>
    <col min="12" max="16384" width="9.140625" style="113"/>
  </cols>
  <sheetData>
    <row r="1" spans="1:11" ht="23.25">
      <c r="A1" s="261" t="s">
        <v>83</v>
      </c>
      <c r="B1" s="261"/>
      <c r="C1" s="261"/>
      <c r="D1" s="261"/>
      <c r="E1" s="261"/>
    </row>
    <row r="2" spans="1:11" ht="24" thickBot="1">
      <c r="A2" s="262" t="s">
        <v>27</v>
      </c>
      <c r="B2" s="262"/>
      <c r="C2" s="262"/>
      <c r="D2" s="262"/>
      <c r="E2" s="262"/>
    </row>
    <row r="3" spans="1:11" s="116" customFormat="1">
      <c r="B3" s="115"/>
      <c r="F3" s="260"/>
      <c r="G3" s="260"/>
      <c r="H3" s="260"/>
      <c r="I3" s="260"/>
    </row>
    <row r="4" spans="1:11" ht="33.75" customHeight="1">
      <c r="F4" s="256" t="s">
        <v>46</v>
      </c>
      <c r="G4" s="259"/>
      <c r="H4" s="258" t="s">
        <v>44</v>
      </c>
      <c r="I4" s="259"/>
      <c r="J4" s="256" t="s">
        <v>45</v>
      </c>
      <c r="K4" s="256"/>
    </row>
    <row r="5" spans="1:11">
      <c r="B5" s="115" t="s">
        <v>26</v>
      </c>
      <c r="C5" s="116" t="s">
        <v>47</v>
      </c>
      <c r="E5" s="115" t="s">
        <v>26</v>
      </c>
      <c r="F5" s="149" t="s">
        <v>28</v>
      </c>
      <c r="G5" s="150" t="s">
        <v>29</v>
      </c>
      <c r="H5" s="153" t="s">
        <v>28</v>
      </c>
      <c r="I5" s="150" t="s">
        <v>29</v>
      </c>
      <c r="J5" s="145" t="s">
        <v>28</v>
      </c>
      <c r="K5" s="145" t="s">
        <v>29</v>
      </c>
    </row>
    <row r="6" spans="1:11">
      <c r="B6" s="114">
        <v>1</v>
      </c>
      <c r="C6" s="113" t="s">
        <v>62</v>
      </c>
      <c r="E6" s="119">
        <f>COUNTIF('FIG6 Tumor Volume'!E$5:E$30,'FIG6 Groups'!C6)</f>
        <v>7</v>
      </c>
      <c r="F6" s="151">
        <f>AVERAGEIF('FIG6 Body Weight'!E$5:E$30,'FIG6 Groups'!C6,'FIG6 Body Weight'!N$5:N$30)</f>
        <v>27.871428571428574</v>
      </c>
      <c r="G6" s="152">
        <f t="array" ref="G6">_xlfn.STDEV.P(IF('FIG6 Body Weight'!E$5:E$30='FIG6 Groups'!C6,'FIG6 Body Weight'!N$5:N$30))</f>
        <v>1.631576175459341</v>
      </c>
      <c r="H6" s="154">
        <f>AVERAGEIF('FIG6 Tumor Volume'!E$5:E$30,'FIG6 Groups'!C6,'FIG6 Tumor Volume'!M$5:M$30)</f>
        <v>101.53312000000001</v>
      </c>
      <c r="I6" s="152">
        <f t="array" ref="I6">_xlfn.STDEV.P(IF('FIG6 Tumor Volume'!E$5:E$30='FIG6 Groups'!C6,'FIG6 Tumor Volume'!M$5:M$30))</f>
        <v>30.159350237631386</v>
      </c>
      <c r="J6" s="139">
        <f>AVERAGEIF('FIG6 Tumor Volume'!E$5:E$30,'FIG6 Groups'!C6,'FIG6 Tumor Volume'!Q$5:Q$30)</f>
        <v>0</v>
      </c>
      <c r="K6" s="139">
        <f t="array" ref="K6">_xlfn.STDEV.P(IF('FIG6 Tumor Volume'!E$5:E$30='FIG6 Groups'!C6,'FIG6 Tumor Volume'!Q$5:Q$30))</f>
        <v>0</v>
      </c>
    </row>
    <row r="7" spans="1:11">
      <c r="B7" s="114">
        <v>2</v>
      </c>
      <c r="C7" s="113" t="s">
        <v>63</v>
      </c>
      <c r="E7" s="119">
        <f>COUNTIF('FIG6 Tumor Volume'!E$5:E$30,'FIG6 Groups'!C7)</f>
        <v>6</v>
      </c>
      <c r="F7" s="151">
        <f>AVERAGEIF('FIG6 Body Weight'!E$5:E$30,'FIG6 Groups'!C7,'FIG6 Body Weight'!N$5:N$30)</f>
        <v>27.733333333333334</v>
      </c>
      <c r="G7" s="152">
        <f t="array" ref="G7">_xlfn.STDEV.P(IF('FIG6 Body Weight'!E$5:E$30='FIG6 Groups'!C7,'FIG6 Body Weight'!N$5:N$30))</f>
        <v>2.2617593938249829</v>
      </c>
      <c r="H7" s="154">
        <f>AVERAGEIF('FIG6 Tumor Volume'!E$5:E$30,'FIG6 Groups'!C7,'FIG6 Tumor Volume'!M$5:M$30)</f>
        <v>128.91840000000002</v>
      </c>
      <c r="I7" s="152">
        <f t="array" ref="I7">_xlfn.STDEV.P(IF('FIG6 Tumor Volume'!E$5:E$30='FIG6 Groups'!C7,'FIG6 Tumor Volume'!M$5:M$30))</f>
        <v>36.377308767974199</v>
      </c>
      <c r="J7" s="139">
        <f>AVERAGEIF('FIG6 Tumor Volume'!E$5:E$30,'FIG6 Groups'!C7,'FIG6 Tumor Volume'!Q$5:Q$30)</f>
        <v>6.4055313839732975</v>
      </c>
      <c r="K7" s="139">
        <f t="array" ref="K7">_xlfn.STDEV.P(IF('FIG6 Tumor Volume'!E$5:E$30='FIG6 Groups'!C7,'FIG6 Tumor Volume'!Q$5:Q$30))</f>
        <v>1.0231174453050944</v>
      </c>
    </row>
    <row r="8" spans="1:11">
      <c r="B8" s="114">
        <v>3</v>
      </c>
      <c r="C8" s="113" t="s">
        <v>64</v>
      </c>
      <c r="E8" s="119">
        <f>COUNTIF('FIG6 Tumor Volume'!E$5:E$30,'FIG6 Groups'!C8)</f>
        <v>6</v>
      </c>
      <c r="F8" s="151">
        <f>AVERAGEIF('FIG6 Body Weight'!E$5:E$30,'FIG6 Groups'!C8,'FIG6 Body Weight'!N$5:N$30)</f>
        <v>28.933333333333326</v>
      </c>
      <c r="G8" s="152">
        <f t="array" ref="G8">_xlfn.STDEV.P(IF('FIG6 Body Weight'!E$5:E$30='FIG6 Groups'!C8,'FIG6 Body Weight'!N$5:N$30))</f>
        <v>1.1040330107786129</v>
      </c>
      <c r="H8" s="154">
        <f>AVERAGEIF('FIG6 Tumor Volume'!E$5:E$30,'FIG6 Groups'!C8,'FIG6 Tumor Volume'!M$5:M$30)</f>
        <v>134.8672</v>
      </c>
      <c r="I8" s="152">
        <f t="array" ref="I8">_xlfn.STDEV.P(IF('FIG6 Tumor Volume'!E$5:E$30='FIG6 Groups'!C8,'FIG6 Tumor Volume'!M$5:M$30))</f>
        <v>30.688714977237776</v>
      </c>
      <c r="J8" s="139">
        <f>AVERAGEIF('FIG6 Tumor Volume'!E$5:E$30,'FIG6 Groups'!C8,'FIG6 Tumor Volume'!Q$5:Q$30)</f>
        <v>0</v>
      </c>
      <c r="K8" s="139">
        <f t="array" ref="K8">_xlfn.STDEV.P(IF('FIG6 Tumor Volume'!E$5:E$30='FIG6 Groups'!C8,'FIG6 Tumor Volume'!Q$5:Q$30))</f>
        <v>0</v>
      </c>
    </row>
    <row r="9" spans="1:11">
      <c r="B9" s="114">
        <v>4</v>
      </c>
      <c r="C9" s="113" t="s">
        <v>65</v>
      </c>
      <c r="E9" s="119">
        <f>COUNTIF('FIG6 Tumor Volume'!E$5:E$30,'FIG6 Groups'!C9)</f>
        <v>5</v>
      </c>
      <c r="F9" s="151">
        <f>AVERAGEIF('FIG6 Body Weight'!E$5:E$30,'FIG6 Groups'!C9,'FIG6 Body Weight'!N$5:N$30)</f>
        <v>27.76</v>
      </c>
      <c r="G9" s="152">
        <f t="array" ref="G9">_xlfn.STDEV.P(IF('FIG6 Body Weight'!E$5:E$30='FIG6 Groups'!C9,'FIG6 Body Weight'!N$5:N$30))</f>
        <v>1.723484841824841</v>
      </c>
      <c r="H9" s="154">
        <f>AVERAGEIF('FIG6 Tumor Volume'!E$5:E$30,'FIG6 Groups'!C9,'FIG6 Tumor Volume'!M$5:M$30)</f>
        <v>113.423856</v>
      </c>
      <c r="I9" s="152">
        <f t="array" ref="I9">_xlfn.STDEV.P(IF('FIG6 Tumor Volume'!E$5:E$30='FIG6 Groups'!C9,'FIG6 Tumor Volume'!M$5:M$30))</f>
        <v>25.409191450435095</v>
      </c>
      <c r="J9" s="139">
        <f>AVERAGEIF('FIG6 Tumor Volume'!E$5:E$30,'FIG6 Groups'!C9,'FIG6 Tumor Volume'!Q$5:Q$30)</f>
        <v>8.7693069368001169</v>
      </c>
      <c r="K9" s="139">
        <f t="array" ref="K9">_xlfn.STDEV.P(IF('FIG6 Tumor Volume'!E$5:E$30='FIG6 Groups'!C9,'FIG6 Tumor Volume'!Q$5:Q$30))</f>
        <v>3.3933709702883288</v>
      </c>
    </row>
    <row r="10" spans="1:11">
      <c r="B10" s="114">
        <v>5</v>
      </c>
      <c r="C10" s="113" t="s">
        <v>73</v>
      </c>
      <c r="E10" s="119">
        <f>COUNTIF('FIG6 Tumor Volume'!E$5:E$30,'FIG6 Groups'!C10)</f>
        <v>2</v>
      </c>
      <c r="F10" s="151">
        <f>AVERAGEIF('FIG6 Body Weight'!E$5:E$30,'FIG6 Groups'!C10,'FIG6 Body Weight'!N$5:N$30)</f>
        <v>27.8</v>
      </c>
      <c r="G10" s="152">
        <f t="array" ref="G10">_xlfn.STDEV.P(IF('FIG6 Body Weight'!E$5:E$30='FIG6 Groups'!C10,'FIG6 Body Weight'!N$5:N$30))</f>
        <v>0</v>
      </c>
      <c r="H10" s="154">
        <f>AVERAGEIF('FIG6 Tumor Volume'!E$5:E$30,'FIG6 Groups'!C10,'FIG6 Tumor Volume'!M$5:M$30)</f>
        <v>108.98446000000001</v>
      </c>
      <c r="I10" s="152">
        <f t="array" ref="I10">_xlfn.STDEV.P(IF('FIG6 Tumor Volume'!E$5:E$30='FIG6 Groups'!C10,'FIG6 Tumor Volume'!M$5:M$30))</f>
        <v>3.4879000000000033</v>
      </c>
      <c r="J10" s="139">
        <f>AVERAGEIF('FIG6 Tumor Volume'!E$5:E$30,'FIG6 Groups'!C10,'FIG6 Tumor Volume'!Q$5:Q$30)</f>
        <v>1.3997603254983781</v>
      </c>
      <c r="K10" s="139">
        <f t="array" ref="K10">_xlfn.STDEV.P(IF('FIG6 Tumor Volume'!E$5:E$30='FIG6 Groups'!C10,'FIG6 Tumor Volume'!Q$5:Q$30))</f>
        <v>0.27176145994295142</v>
      </c>
    </row>
    <row r="11" spans="1:11">
      <c r="B11" s="114">
        <v>6</v>
      </c>
      <c r="C11" s="113" t="s">
        <v>75</v>
      </c>
      <c r="E11" s="119">
        <f>COUNTIF('FIG6 Tumor Volume'!E$5:E$30,'FIG6 Groups'!C11)</f>
        <v>0</v>
      </c>
      <c r="F11" s="151" t="e">
        <f>AVERAGEIF('FIG6 Body Weight'!E$5:E$30,'FIG6 Groups'!C11,'FIG6 Body Weight'!N$5:N$30)</f>
        <v>#DIV/0!</v>
      </c>
      <c r="G11" s="152" t="e">
        <f t="array" ref="G11">_xlfn.STDEV.P(IF('FIG6 Body Weight'!E$5:E$30='FIG6 Groups'!C11,'FIG6 Body Weight'!N$5:N$30))</f>
        <v>#DIV/0!</v>
      </c>
      <c r="H11" s="154" t="e">
        <f>AVERAGEIF('FIG6 Tumor Volume'!E$5:E$30,'FIG6 Groups'!C11,'FIG6 Tumor Volume'!M$5:M$30)</f>
        <v>#DIV/0!</v>
      </c>
      <c r="I11" s="152" t="e">
        <f t="array" ref="I11">_xlfn.STDEV.P(IF('FIG6 Tumor Volume'!E$5:E$30='FIG6 Groups'!C11,'FIG6 Tumor Volume'!M$5:M$30))</f>
        <v>#DIV/0!</v>
      </c>
      <c r="J11" s="139" t="e">
        <f>AVERAGEIF('FIG6 Tumor Volume'!E$5:E$30,'FIG6 Groups'!C11,'FIG6 Tumor Volume'!Q$5:Q$30)</f>
        <v>#DIV/0!</v>
      </c>
      <c r="K11" s="139" t="e">
        <f t="array" ref="K11">_xlfn.STDEV.P(IF('FIG6 Tumor Volume'!E$5:E$30='FIG6 Groups'!C11,'FIG6 Tumor Volume'!Q$5:Q$30))</f>
        <v>#DIV/0!</v>
      </c>
    </row>
    <row r="12" spans="1:11">
      <c r="B12" s="114">
        <v>7</v>
      </c>
      <c r="C12" s="113" t="s">
        <v>76</v>
      </c>
      <c r="E12" s="119">
        <f>COUNTIF('FIG6 Tumor Volume'!E$5:E$30,'FIG6 Groups'!C12)</f>
        <v>0</v>
      </c>
      <c r="F12" s="151" t="e">
        <f>AVERAGEIF('FIG6 Body Weight'!E$5:E$30,'FIG6 Groups'!C12,'FIG6 Body Weight'!N$5:N$30)</f>
        <v>#DIV/0!</v>
      </c>
      <c r="G12" s="152" t="e">
        <f t="array" ref="G12">_xlfn.STDEV.P(IF('FIG6 Body Weight'!E$5:E$30='FIG6 Groups'!C12,'FIG6 Body Weight'!N$5:N$30))</f>
        <v>#DIV/0!</v>
      </c>
      <c r="H12" s="154" t="e">
        <f>AVERAGEIF('FIG6 Tumor Volume'!E$5:E$30,'FIG6 Groups'!C12,'FIG6 Tumor Volume'!M$5:M$30)</f>
        <v>#DIV/0!</v>
      </c>
      <c r="I12" s="152" t="e">
        <f t="array" ref="I12">_xlfn.STDEV.P(IF('FIG6 Tumor Volume'!E$5:E$30='FIG6 Groups'!C12,'FIG6 Tumor Volume'!M$5:M$30))</f>
        <v>#DIV/0!</v>
      </c>
      <c r="J12" s="139" t="e">
        <f>AVERAGEIF('FIG6 Tumor Volume'!E$5:E$30,'FIG6 Groups'!C12,'FIG6 Tumor Volume'!Q$5:Q$30)</f>
        <v>#DIV/0!</v>
      </c>
      <c r="K12" s="139" t="e">
        <f t="array" ref="K12">_xlfn.STDEV.P(IF('FIG6 Tumor Volume'!E$5:E$30='FIG6 Groups'!C12,'FIG6 Tumor Volume'!Q$5:Q$30))</f>
        <v>#DIV/0!</v>
      </c>
    </row>
    <row r="13" spans="1:11">
      <c r="B13" s="114">
        <v>8</v>
      </c>
      <c r="C13" s="113" t="s">
        <v>77</v>
      </c>
      <c r="E13" s="119">
        <f>COUNTIF('FIG6 Tumor Volume'!E$5:E$30,'FIG6 Groups'!C13)</f>
        <v>0</v>
      </c>
      <c r="F13" s="151" t="e">
        <f>AVERAGEIF('FIG6 Body Weight'!E$5:E$30,'FIG6 Groups'!C13,'FIG6 Body Weight'!N$5:N$30)</f>
        <v>#DIV/0!</v>
      </c>
      <c r="G13" s="152" t="e">
        <f t="array" ref="G13">_xlfn.STDEV.P(IF('FIG6 Body Weight'!E$5:E$30='FIG6 Groups'!C13,'FIG6 Body Weight'!N$5:N$30))</f>
        <v>#DIV/0!</v>
      </c>
      <c r="H13" s="154" t="e">
        <f>AVERAGEIF('FIG6 Tumor Volume'!E$5:E$30,'FIG6 Groups'!C13,'FIG6 Tumor Volume'!M$5:M$30)</f>
        <v>#DIV/0!</v>
      </c>
      <c r="I13" s="152" t="e">
        <f t="array" ref="I13">_xlfn.STDEV.P(IF('FIG6 Tumor Volume'!E$5:E$30='FIG6 Groups'!C13,'FIG6 Tumor Volume'!M$5:M$30))</f>
        <v>#DIV/0!</v>
      </c>
      <c r="J13" s="139" t="e">
        <f>AVERAGEIF('FIG6 Tumor Volume'!E$5:E$30,'FIG6 Groups'!C13,'FIG6 Tumor Volume'!Q$5:Q$30)</f>
        <v>#DIV/0!</v>
      </c>
      <c r="K13" s="139" t="e">
        <f t="array" ref="K13">_xlfn.STDEV.P(IF('FIG6 Tumor Volume'!E$5:E$30='FIG6 Groups'!C13,'FIG6 Tumor Volume'!Q$5:Q$30))</f>
        <v>#DIV/0!</v>
      </c>
    </row>
    <row r="14" spans="1:11">
      <c r="B14" s="114">
        <v>9</v>
      </c>
      <c r="C14" s="113" t="s">
        <v>78</v>
      </c>
      <c r="E14" s="119">
        <f>COUNTIF('FIG6 Tumor Volume'!E$5:E$30,'FIG6 Groups'!C14)</f>
        <v>0</v>
      </c>
      <c r="F14" s="151" t="e">
        <f>AVERAGEIF('FIG6 Body Weight'!E$5:E$30,'FIG6 Groups'!C14,'FIG6 Body Weight'!N$5:N$30)</f>
        <v>#DIV/0!</v>
      </c>
      <c r="G14" s="152" t="e">
        <f t="array" ref="G14">_xlfn.STDEV.P(IF('FIG6 Body Weight'!E$5:E$30='FIG6 Groups'!C14,'FIG6 Body Weight'!N$5:N$30))</f>
        <v>#DIV/0!</v>
      </c>
      <c r="H14" s="154" t="e">
        <f>AVERAGEIF('FIG6 Tumor Volume'!E$5:E$30,'FIG6 Groups'!C14,'FIG6 Tumor Volume'!M$5:M$30)</f>
        <v>#DIV/0!</v>
      </c>
      <c r="I14" s="152" t="e">
        <f t="array" ref="I14">_xlfn.STDEV.P(IF('FIG6 Tumor Volume'!E$5:E$30='FIG6 Groups'!C14,'FIG6 Tumor Volume'!M$5:M$30))</f>
        <v>#DIV/0!</v>
      </c>
      <c r="J14" s="139" t="e">
        <f>AVERAGEIF('FIG6 Tumor Volume'!E$5:E$30,'FIG6 Groups'!C14,'FIG6 Tumor Volume'!Q$5:Q$30)</f>
        <v>#DIV/0!</v>
      </c>
      <c r="K14" s="139" t="e">
        <f t="array" ref="K14">_xlfn.STDEV.P(IF('FIG6 Tumor Volume'!E$5:E$30='FIG6 Groups'!C14,'FIG6 Tumor Volume'!Q$5:Q$30))</f>
        <v>#DIV/0!</v>
      </c>
    </row>
    <row r="15" spans="1:11">
      <c r="B15" s="114">
        <v>10</v>
      </c>
      <c r="C15" s="113" t="s">
        <v>60</v>
      </c>
      <c r="E15" s="119">
        <f>COUNTIF('FIG6 Tumor Volume'!E$5:E$30,'FIG6 Groups'!C15)</f>
        <v>0</v>
      </c>
      <c r="F15" s="151" t="e">
        <f>AVERAGEIF('FIG6 Body Weight'!E$5:E$30,'FIG6 Groups'!C15,'FIG6 Body Weight'!N$5:N$30)</f>
        <v>#DIV/0!</v>
      </c>
      <c r="G15" s="152" t="e">
        <f t="array" ref="G15">_xlfn.STDEV.P(IF('FIG6 Body Weight'!E$5:E$30='FIG6 Groups'!C15,'FIG6 Body Weight'!N$5:N$30))</f>
        <v>#DIV/0!</v>
      </c>
      <c r="H15" s="154" t="e">
        <f>AVERAGEIF('FIG6 Tumor Volume'!E$5:E$30,'FIG6 Groups'!C15,'FIG6 Tumor Volume'!M$5:M$30)</f>
        <v>#DIV/0!</v>
      </c>
      <c r="I15" s="152" t="e">
        <f t="array" ref="I15">_xlfn.STDEV.P(IF('FIG6 Tumor Volume'!E$5:E$30='FIG6 Groups'!C15,'FIG6 Tumor Volume'!M$5:M$30))</f>
        <v>#DIV/0!</v>
      </c>
      <c r="J15" s="139" t="e">
        <f>AVERAGEIF('FIG6 Tumor Volume'!E$5:E$30,'FIG6 Groups'!C15,'FIG6 Tumor Volume'!Q$5:Q$30)</f>
        <v>#DIV/0!</v>
      </c>
      <c r="K15" s="139" t="e">
        <f t="array" ref="K15">_xlfn.STDEV.P(IF('FIG6 Tumor Volume'!E$5:E$30='FIG6 Groups'!C15,'FIG6 Tumor Volume'!Q$5:Q$30))</f>
        <v>#DIV/0!</v>
      </c>
    </row>
    <row r="16" spans="1:11">
      <c r="B16" s="114">
        <v>11</v>
      </c>
      <c r="C16" s="113" t="s">
        <v>38</v>
      </c>
      <c r="E16" s="119">
        <f>COUNTIF('FIG6 Tumor Volume'!E$5:E$30,'FIG6 Groups'!C16)</f>
        <v>0</v>
      </c>
      <c r="F16" s="151" t="e">
        <f>AVERAGEIF('FIG6 Body Weight'!E$5:E$30,'FIG6 Groups'!C16,'FIG6 Body Weight'!N$5:N$30)</f>
        <v>#DIV/0!</v>
      </c>
      <c r="G16" s="152" t="e">
        <f t="array" ref="G16">_xlfn.STDEV.P(IF('FIG6 Body Weight'!E$5:E$30='FIG6 Groups'!C16,'FIG6 Body Weight'!N$5:N$30))</f>
        <v>#DIV/0!</v>
      </c>
      <c r="H16" s="154" t="e">
        <f>AVERAGEIF('FIG6 Tumor Volume'!E$5:E$30,'FIG6 Groups'!C16,'FIG6 Tumor Volume'!M$5:M$30)</f>
        <v>#DIV/0!</v>
      </c>
      <c r="I16" s="152" t="e">
        <f t="array" ref="I16">_xlfn.STDEV.P(IF('FIG6 Tumor Volume'!E$5:E$30='FIG6 Groups'!C16,'FIG6 Tumor Volume'!M$5:M$30))</f>
        <v>#DIV/0!</v>
      </c>
      <c r="J16" s="139" t="e">
        <f>AVERAGEIF('FIG6 Tumor Volume'!E$5:E$30,'FIG6 Groups'!C16,'FIG6 Tumor Volume'!Q$5:Q$30)</f>
        <v>#DIV/0!</v>
      </c>
      <c r="K16" s="139" t="e">
        <f t="array" ref="K16">_xlfn.STDEV.P(IF('FIG6 Tumor Volume'!E$5:E$30='FIG6 Groups'!C16,'FIG6 Tumor Volume'!Q$5:Q$30))</f>
        <v>#DIV/0!</v>
      </c>
    </row>
    <row r="17" spans="2:11">
      <c r="B17" s="114">
        <v>12</v>
      </c>
      <c r="C17" s="113" t="s">
        <v>39</v>
      </c>
      <c r="E17" s="119">
        <f>COUNTIF('FIG6 Tumor Volume'!E$5:E$30,'FIG6 Groups'!C17)</f>
        <v>0</v>
      </c>
      <c r="F17" s="151" t="e">
        <f>AVERAGEIF('FIG6 Body Weight'!E$5:E$30,'FIG6 Groups'!C17,'FIG6 Body Weight'!N$5:N$30)</f>
        <v>#DIV/0!</v>
      </c>
      <c r="G17" s="152" t="e">
        <f t="array" ref="G17">_xlfn.STDEV.P(IF('FIG6 Body Weight'!E$5:E$30='FIG6 Groups'!C17,'FIG6 Body Weight'!N$5:N$30))</f>
        <v>#DIV/0!</v>
      </c>
      <c r="H17" s="154" t="e">
        <f>AVERAGEIF('FIG6 Tumor Volume'!E$5:E$30,'FIG6 Groups'!C17,'FIG6 Tumor Volume'!M$5:M$30)</f>
        <v>#DIV/0!</v>
      </c>
      <c r="I17" s="152" t="e">
        <f t="array" ref="I17">_xlfn.STDEV.P(IF('FIG6 Tumor Volume'!E$5:E$30='FIG6 Groups'!C17,'FIG6 Tumor Volume'!M$5:M$30))</f>
        <v>#DIV/0!</v>
      </c>
      <c r="J17" s="139" t="e">
        <f>AVERAGEIF('FIG6 Tumor Volume'!E$5:E$30,'FIG6 Groups'!C17,'FIG6 Tumor Volume'!Q$5:Q$30)</f>
        <v>#DIV/0!</v>
      </c>
      <c r="K17" s="139" t="e">
        <f t="array" ref="K17">_xlfn.STDEV.P(IF('FIG6 Tumor Volume'!E$5:E$30='FIG6 Groups'!C17,'FIG6 Tumor Volume'!Q$5:Q$30))</f>
        <v>#DIV/0!</v>
      </c>
    </row>
    <row r="18" spans="2:11">
      <c r="B18" s="114">
        <v>13</v>
      </c>
      <c r="C18" s="113" t="s">
        <v>40</v>
      </c>
      <c r="E18" s="119">
        <f>COUNTIF('FIG6 Tumor Volume'!E$5:E$30,'FIG6 Groups'!C18)</f>
        <v>0</v>
      </c>
      <c r="F18" s="151" t="e">
        <f>AVERAGEIF('FIG6 Body Weight'!E$5:E$30,'FIG6 Groups'!C18,'FIG6 Body Weight'!N$5:N$30)</f>
        <v>#DIV/0!</v>
      </c>
      <c r="G18" s="152" t="e">
        <f t="array" ref="G18">_xlfn.STDEV.P(IF('FIG6 Body Weight'!E$5:E$30='FIG6 Groups'!C18,'FIG6 Body Weight'!N$5:N$30))</f>
        <v>#DIV/0!</v>
      </c>
      <c r="H18" s="154" t="e">
        <f>AVERAGEIF('FIG6 Tumor Volume'!E$5:E$30,'FIG6 Groups'!C18,'FIG6 Tumor Volume'!M$5:M$30)</f>
        <v>#DIV/0!</v>
      </c>
      <c r="I18" s="152" t="e">
        <f t="array" ref="I18">_xlfn.STDEV.P(IF('FIG6 Tumor Volume'!E$5:E$30='FIG6 Groups'!C18,'FIG6 Tumor Volume'!M$5:M$30))</f>
        <v>#DIV/0!</v>
      </c>
      <c r="J18" s="139" t="e">
        <f>AVERAGEIF('FIG6 Tumor Volume'!E$5:E$30,'FIG6 Groups'!C18,'FIG6 Tumor Volume'!Q$5:Q$30)</f>
        <v>#DIV/0!</v>
      </c>
      <c r="K18" s="139" t="e">
        <f t="array" ref="K18">_xlfn.STDEV.P(IF('FIG6 Tumor Volume'!E$5:E$30='FIG6 Groups'!C18,'FIG6 Tumor Volume'!Q$5:Q$30))</f>
        <v>#DIV/0!</v>
      </c>
    </row>
    <row r="19" spans="2:11">
      <c r="B19" s="114">
        <v>14</v>
      </c>
      <c r="C19" s="113" t="s">
        <v>41</v>
      </c>
      <c r="E19" s="119">
        <f>COUNTIF('FIG6 Tumor Volume'!E$5:E$30,'FIG6 Groups'!C19)</f>
        <v>0</v>
      </c>
      <c r="F19" s="151" t="e">
        <f>AVERAGEIF('FIG6 Body Weight'!E$5:E$30,'FIG6 Groups'!C19,'FIG6 Body Weight'!N$5:N$30)</f>
        <v>#DIV/0!</v>
      </c>
      <c r="G19" s="152" t="e">
        <f t="array" ref="G19">_xlfn.STDEV.P(IF('FIG6 Body Weight'!E$5:E$30='FIG6 Groups'!C19,'FIG6 Body Weight'!N$5:N$30))</f>
        <v>#DIV/0!</v>
      </c>
      <c r="H19" s="154" t="e">
        <f>AVERAGEIF('FIG6 Tumor Volume'!E$5:E$30,'FIG6 Groups'!C19,'FIG6 Tumor Volume'!M$5:M$30)</f>
        <v>#DIV/0!</v>
      </c>
      <c r="I19" s="152" t="e">
        <f t="array" ref="I19">_xlfn.STDEV.P(IF('FIG6 Tumor Volume'!E$5:E$30='FIG6 Groups'!C19,'FIG6 Tumor Volume'!M$5:M$30))</f>
        <v>#DIV/0!</v>
      </c>
      <c r="J19" s="139" t="e">
        <f>AVERAGEIF('FIG6 Tumor Volume'!E$5:E$30,'FIG6 Groups'!C19,'FIG6 Tumor Volume'!Q$5:Q$30)</f>
        <v>#DIV/0!</v>
      </c>
      <c r="K19" s="139" t="e">
        <f t="array" ref="K19">_xlfn.STDEV.P(IF('FIG6 Tumor Volume'!E$5:E$30='FIG6 Groups'!C19,'FIG6 Tumor Volume'!Q$5:Q$30))</f>
        <v>#DIV/0!</v>
      </c>
    </row>
    <row r="20" spans="2:11">
      <c r="B20" s="114">
        <v>15</v>
      </c>
      <c r="C20" s="113" t="s">
        <v>42</v>
      </c>
      <c r="E20" s="119">
        <f>COUNTIF('FIG6 Tumor Volume'!E$5:E$30,'FIG6 Groups'!C20)</f>
        <v>0</v>
      </c>
      <c r="F20" s="151" t="e">
        <f>AVERAGEIF('FIG6 Body Weight'!E$5:E$30,'FIG6 Groups'!C20,'FIG6 Body Weight'!N$5:N$30)</f>
        <v>#DIV/0!</v>
      </c>
      <c r="G20" s="152" t="e">
        <f t="array" ref="G20">_xlfn.STDEV.P(IF('FIG6 Body Weight'!E$5:E$30='FIG6 Groups'!C20,'FIG6 Body Weight'!N$5:N$30))</f>
        <v>#DIV/0!</v>
      </c>
      <c r="H20" s="154" t="e">
        <f>AVERAGEIF('FIG6 Tumor Volume'!E$5:E$30,'FIG6 Groups'!C20,'FIG6 Tumor Volume'!M$5:M$30)</f>
        <v>#DIV/0!</v>
      </c>
      <c r="I20" s="152" t="e">
        <f t="array" ref="I20">_xlfn.STDEV.P(IF('FIG6 Tumor Volume'!E$5:E$30='FIG6 Groups'!C20,'FIG6 Tumor Volume'!M$5:M$30))</f>
        <v>#DIV/0!</v>
      </c>
      <c r="J20" s="139" t="e">
        <f>AVERAGEIF('FIG6 Tumor Volume'!E$5:E$30,'FIG6 Groups'!C20,'FIG6 Tumor Volume'!Q$5:Q$30)</f>
        <v>#DIV/0!</v>
      </c>
      <c r="K20" s="139" t="e">
        <f t="array" ref="K20">_xlfn.STDEV.P(IF('FIG6 Tumor Volume'!E$5:E$30='FIG6 Groups'!C20,'FIG6 Tumor Volume'!Q$5:Q$30))</f>
        <v>#DIV/0!</v>
      </c>
    </row>
    <row r="21" spans="2:11">
      <c r="B21" s="114">
        <v>16</v>
      </c>
      <c r="C21" s="113" t="s">
        <v>43</v>
      </c>
      <c r="E21" s="119">
        <f>COUNTIF('FIG6 Tumor Volume'!E$5:E$30,'FIG6 Groups'!C21)</f>
        <v>0</v>
      </c>
      <c r="F21" s="151" t="e">
        <f>AVERAGEIF('FIG6 Body Weight'!E$5:E$30,'FIG6 Groups'!C21,'FIG6 Body Weight'!N$5:N$30)</f>
        <v>#DIV/0!</v>
      </c>
      <c r="G21" s="152" t="e">
        <f t="array" ref="G21">_xlfn.STDEV.P(IF('FIG6 Body Weight'!E$5:E$30='FIG6 Groups'!C21,'FIG6 Body Weight'!N$5:N$30))</f>
        <v>#DIV/0!</v>
      </c>
      <c r="H21" s="154" t="e">
        <f>AVERAGEIF('FIG6 Tumor Volume'!E$5:E$30,'FIG6 Groups'!C21,'FIG6 Tumor Volume'!M$5:M$30)</f>
        <v>#DIV/0!</v>
      </c>
      <c r="I21" s="152" t="e">
        <f t="array" ref="I21">_xlfn.STDEV.P(IF('FIG6 Tumor Volume'!E$5:E$30='FIG6 Groups'!C21,'FIG6 Tumor Volume'!M$5:M$30))</f>
        <v>#DIV/0!</v>
      </c>
      <c r="J21" s="139" t="e">
        <f>AVERAGEIF('FIG6 Tumor Volume'!E$5:E$30,'FIG6 Groups'!C21,'FIG6 Tumor Volume'!Q$5:Q$30)</f>
        <v>#DIV/0!</v>
      </c>
      <c r="K21" s="139" t="e">
        <f t="array" ref="K21">_xlfn.STDEV.P(IF('FIG6 Tumor Volume'!E$5:E$30='FIG6 Groups'!C21,'FIG6 Tumor Volume'!Q$5:Q$30))</f>
        <v>#DIV/0!</v>
      </c>
    </row>
  </sheetData>
  <mergeCells count="7">
    <mergeCell ref="A1:E1"/>
    <mergeCell ref="A2:E2"/>
    <mergeCell ref="J4:K4"/>
    <mergeCell ref="H4:I4"/>
    <mergeCell ref="F4:G4"/>
    <mergeCell ref="F3:G3"/>
    <mergeCell ref="H3:I3"/>
  </mergeCells>
  <phoneticPr fontId="29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506A-2D55-4756-A269-6FEF4F18E70A}">
  <dimension ref="A1:DV129"/>
  <sheetViews>
    <sheetView showGridLines="0" workbookViewId="0">
      <pane xSplit="5" ySplit="4" topLeftCell="F5" activePane="bottomRight" state="frozen"/>
      <selection activeCell="G21" sqref="G21"/>
      <selection pane="topRight" activeCell="G21" sqref="G21"/>
      <selection pane="bottomLeft" activeCell="G21" sqref="G21"/>
      <selection pane="bottomRight" activeCell="F22" sqref="F22"/>
    </sheetView>
  </sheetViews>
  <sheetFormatPr defaultRowHeight="12.75" outlineLevelCol="1"/>
  <cols>
    <col min="1" max="1" width="9.85546875" style="54" bestFit="1" customWidth="1"/>
    <col min="2" max="2" width="9.140625" style="44"/>
    <col min="3" max="3" width="17.28515625" style="55" hidden="1" customWidth="1" outlineLevel="1"/>
    <col min="4" max="4" width="19" style="54" hidden="1" customWidth="1" outlineLevel="1"/>
    <col min="5" max="5" width="25.7109375" style="53" customWidth="1" collapsed="1"/>
    <col min="6" max="6" width="10.7109375" style="56" customWidth="1"/>
    <col min="7" max="7" width="10.7109375" style="214" customWidth="1"/>
    <col min="8" max="8" width="8.5703125" style="79" hidden="1" customWidth="1" outlineLevel="1"/>
    <col min="9" max="9" width="13.85546875" style="56" customWidth="1" collapsed="1"/>
    <col min="10" max="10" width="9.140625" style="57" hidden="1" customWidth="1" outlineLevel="1"/>
    <col min="11" max="11" width="9" style="58" hidden="1" customWidth="1" outlineLevel="1"/>
    <col min="12" max="12" width="9.5703125" style="58" hidden="1" customWidth="1" outlineLevel="1"/>
    <col min="13" max="13" width="15" style="57" hidden="1" customWidth="1" outlineLevel="1"/>
    <col min="14" max="16" width="12.85546875" style="57" hidden="1" customWidth="1" outlineLevel="1"/>
    <col min="17" max="17" width="18" style="69" hidden="1" customWidth="1" outlineLevel="1"/>
    <col min="18" max="18" width="9.85546875" style="308" hidden="1" customWidth="1" outlineLevel="1"/>
    <col min="19" max="19" width="9.85546875" style="243" hidden="1" customWidth="1" outlineLevel="1"/>
    <col min="20" max="20" width="10.42578125" style="243" hidden="1" customWidth="1" outlineLevel="1"/>
    <col min="21" max="21" width="12.85546875" style="308" hidden="1" customWidth="1" outlineLevel="1"/>
    <col min="22" max="22" width="10.42578125" style="44" customWidth="1" collapsed="1"/>
    <col min="23" max="24" width="10" style="44" customWidth="1"/>
    <col min="25" max="68" width="10" style="44" customWidth="1" outlineLevel="1"/>
    <col min="69" max="69" width="10.7109375" style="44" customWidth="1"/>
    <col min="70" max="71" width="8.5703125" style="44" customWidth="1"/>
    <col min="72" max="115" width="8.5703125" style="44" customWidth="1" outlineLevel="1"/>
    <col min="116" max="16384" width="9.140625" style="53"/>
  </cols>
  <sheetData>
    <row r="1" spans="1:115" s="7" customFormat="1" ht="27">
      <c r="A1" s="326" t="s">
        <v>82</v>
      </c>
      <c r="B1" s="326"/>
      <c r="C1" s="326"/>
      <c r="D1" s="326"/>
      <c r="E1" s="326"/>
      <c r="F1" s="326"/>
      <c r="G1" s="208"/>
      <c r="H1" s="215"/>
      <c r="I1" s="10"/>
      <c r="J1" s="11"/>
      <c r="K1" s="12"/>
      <c r="L1" s="12"/>
      <c r="M1" s="11"/>
      <c r="N1" s="11"/>
      <c r="O1" s="11"/>
      <c r="P1" s="11"/>
      <c r="Q1" s="68"/>
      <c r="R1" s="263"/>
      <c r="S1" s="264"/>
      <c r="T1" s="264"/>
      <c r="U1" s="263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</row>
    <row r="2" spans="1:115" s="50" customFormat="1" ht="15.75" customHeight="1">
      <c r="A2" s="265" t="s">
        <v>3</v>
      </c>
      <c r="B2" s="266"/>
      <c r="C2" s="267"/>
      <c r="D2" s="268"/>
      <c r="E2" s="16"/>
      <c r="F2" s="250" t="s">
        <v>12</v>
      </c>
      <c r="G2" s="269"/>
      <c r="H2" s="269"/>
      <c r="I2" s="250" t="s">
        <v>0</v>
      </c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53"/>
      <c r="V2" s="17"/>
      <c r="W2" s="265" t="s">
        <v>66</v>
      </c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F2" s="265"/>
      <c r="BG2" s="265"/>
      <c r="BH2" s="265"/>
      <c r="BI2" s="265"/>
      <c r="BJ2" s="265"/>
      <c r="BK2" s="265"/>
      <c r="BL2" s="265"/>
      <c r="BM2" s="265"/>
      <c r="BN2" s="265"/>
      <c r="BO2" s="265"/>
      <c r="BP2" s="270"/>
      <c r="BQ2" s="271"/>
      <c r="BR2" s="265" t="s">
        <v>55</v>
      </c>
      <c r="BS2" s="265"/>
      <c r="BT2" s="265"/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Y2" s="265"/>
      <c r="CZ2" s="265"/>
      <c r="DA2" s="265"/>
      <c r="DB2" s="265"/>
      <c r="DC2" s="265"/>
      <c r="DD2" s="265"/>
      <c r="DE2" s="265"/>
      <c r="DF2" s="265"/>
      <c r="DG2" s="265"/>
      <c r="DH2" s="265"/>
      <c r="DI2" s="265"/>
      <c r="DJ2" s="265"/>
      <c r="DK2" s="265"/>
    </row>
    <row r="3" spans="1:115" s="203" customFormat="1" ht="15.75">
      <c r="A3" s="272"/>
      <c r="B3" s="273"/>
      <c r="C3" s="274"/>
      <c r="D3" s="272"/>
      <c r="E3" s="189"/>
      <c r="F3" s="191"/>
      <c r="G3" s="275"/>
      <c r="H3" s="275"/>
      <c r="I3" s="191"/>
      <c r="J3" s="276"/>
      <c r="K3" s="277"/>
      <c r="L3" s="278"/>
      <c r="M3" s="277"/>
      <c r="N3" s="277"/>
      <c r="O3" s="277"/>
      <c r="P3" s="277"/>
      <c r="Q3" s="277"/>
      <c r="R3" s="277"/>
      <c r="S3" s="279"/>
      <c r="T3" s="279"/>
      <c r="U3" s="193"/>
      <c r="V3" s="190" t="s">
        <v>13</v>
      </c>
      <c r="W3" s="280">
        <v>43011</v>
      </c>
      <c r="X3" s="280">
        <v>43012</v>
      </c>
      <c r="Y3" s="280">
        <v>43013</v>
      </c>
      <c r="Z3" s="280">
        <v>43014</v>
      </c>
      <c r="AA3" s="280">
        <v>43017</v>
      </c>
      <c r="AB3" s="280">
        <v>43019</v>
      </c>
      <c r="AC3" s="280">
        <v>43021</v>
      </c>
      <c r="AD3" s="280">
        <v>43024</v>
      </c>
      <c r="AE3" s="280">
        <v>43026</v>
      </c>
      <c r="AF3" s="280">
        <v>43028</v>
      </c>
      <c r="AG3" s="280">
        <v>43031</v>
      </c>
      <c r="AH3" s="280">
        <v>43033</v>
      </c>
      <c r="AI3" s="280">
        <v>43035</v>
      </c>
      <c r="AJ3" s="280">
        <v>43037</v>
      </c>
      <c r="AK3" s="280">
        <v>43039</v>
      </c>
      <c r="AL3" s="280">
        <v>43041</v>
      </c>
      <c r="AM3" s="280">
        <v>43044</v>
      </c>
      <c r="AN3" s="280">
        <v>43047</v>
      </c>
      <c r="AO3" s="280">
        <v>43049</v>
      </c>
      <c r="AP3" s="280">
        <v>43052</v>
      </c>
      <c r="AQ3" s="280">
        <v>43055</v>
      </c>
      <c r="AR3" s="280">
        <v>43058</v>
      </c>
      <c r="AS3" s="280">
        <v>43060</v>
      </c>
      <c r="AT3" s="280">
        <v>43063</v>
      </c>
      <c r="AU3" s="280">
        <v>43066</v>
      </c>
      <c r="AV3" s="280">
        <v>43068</v>
      </c>
      <c r="AW3" s="280">
        <v>43070</v>
      </c>
      <c r="AX3" s="280">
        <v>43074</v>
      </c>
      <c r="AY3" s="280">
        <v>43077</v>
      </c>
      <c r="AZ3" s="280">
        <v>43080</v>
      </c>
      <c r="BA3" s="280">
        <v>43084</v>
      </c>
      <c r="BB3" s="280">
        <v>43087</v>
      </c>
      <c r="BC3" s="280">
        <v>43090</v>
      </c>
      <c r="BD3" s="280">
        <v>43092</v>
      </c>
      <c r="BE3" s="280">
        <v>43098</v>
      </c>
      <c r="BF3" s="280">
        <v>43101</v>
      </c>
      <c r="BG3" s="280">
        <v>43103</v>
      </c>
      <c r="BH3" s="280">
        <v>43106</v>
      </c>
      <c r="BI3" s="280">
        <v>43108</v>
      </c>
      <c r="BJ3" s="280">
        <v>43111</v>
      </c>
      <c r="BK3" s="280">
        <v>43114</v>
      </c>
      <c r="BL3" s="280">
        <v>43116</v>
      </c>
      <c r="BM3" s="280">
        <v>43119</v>
      </c>
      <c r="BN3" s="280">
        <v>43122</v>
      </c>
      <c r="BO3" s="280">
        <v>43126</v>
      </c>
      <c r="BP3" s="280">
        <v>43131</v>
      </c>
      <c r="BQ3" s="190" t="s">
        <v>58</v>
      </c>
      <c r="BR3" s="280">
        <f t="shared" ref="BR3:CG4" si="0">IF(ISBLANK(W3)=TRUE,"",W3)</f>
        <v>43011</v>
      </c>
      <c r="BS3" s="280">
        <f t="shared" si="0"/>
        <v>43012</v>
      </c>
      <c r="BT3" s="280">
        <f t="shared" si="0"/>
        <v>43013</v>
      </c>
      <c r="BU3" s="280">
        <f t="shared" si="0"/>
        <v>43014</v>
      </c>
      <c r="BV3" s="280">
        <f t="shared" si="0"/>
        <v>43017</v>
      </c>
      <c r="BW3" s="280">
        <f t="shared" si="0"/>
        <v>43019</v>
      </c>
      <c r="BX3" s="280">
        <f t="shared" si="0"/>
        <v>43021</v>
      </c>
      <c r="BY3" s="280">
        <f t="shared" si="0"/>
        <v>43024</v>
      </c>
      <c r="BZ3" s="280">
        <f t="shared" si="0"/>
        <v>43026</v>
      </c>
      <c r="CA3" s="280">
        <f t="shared" si="0"/>
        <v>43028</v>
      </c>
      <c r="CB3" s="280">
        <f t="shared" si="0"/>
        <v>43031</v>
      </c>
      <c r="CC3" s="280">
        <f t="shared" si="0"/>
        <v>43033</v>
      </c>
      <c r="CD3" s="280">
        <f t="shared" si="0"/>
        <v>43035</v>
      </c>
      <c r="CE3" s="280">
        <f t="shared" si="0"/>
        <v>43037</v>
      </c>
      <c r="CF3" s="280">
        <f t="shared" si="0"/>
        <v>43039</v>
      </c>
      <c r="CG3" s="280">
        <f t="shared" si="0"/>
        <v>43041</v>
      </c>
      <c r="CH3" s="280">
        <f t="shared" ref="CH3:CW4" si="1">IF(ISBLANK(AM3)=TRUE,"",AM3)</f>
        <v>43044</v>
      </c>
      <c r="CI3" s="280">
        <f t="shared" si="1"/>
        <v>43047</v>
      </c>
      <c r="CJ3" s="280">
        <f t="shared" si="1"/>
        <v>43049</v>
      </c>
      <c r="CK3" s="280">
        <f t="shared" si="1"/>
        <v>43052</v>
      </c>
      <c r="CL3" s="280">
        <f t="shared" si="1"/>
        <v>43055</v>
      </c>
      <c r="CM3" s="280">
        <f t="shared" si="1"/>
        <v>43058</v>
      </c>
      <c r="CN3" s="280">
        <f t="shared" si="1"/>
        <v>43060</v>
      </c>
      <c r="CO3" s="280">
        <f t="shared" si="1"/>
        <v>43063</v>
      </c>
      <c r="CP3" s="280">
        <f t="shared" si="1"/>
        <v>43066</v>
      </c>
      <c r="CQ3" s="280">
        <f t="shared" si="1"/>
        <v>43068</v>
      </c>
      <c r="CR3" s="280">
        <f t="shared" si="1"/>
        <v>43070</v>
      </c>
      <c r="CS3" s="280">
        <f t="shared" si="1"/>
        <v>43074</v>
      </c>
      <c r="CT3" s="280">
        <f t="shared" si="1"/>
        <v>43077</v>
      </c>
      <c r="CU3" s="280">
        <f t="shared" si="1"/>
        <v>43080</v>
      </c>
      <c r="CV3" s="280">
        <f t="shared" si="1"/>
        <v>43084</v>
      </c>
      <c r="CW3" s="280">
        <f t="shared" si="1"/>
        <v>43087</v>
      </c>
      <c r="CX3" s="280">
        <f t="shared" ref="CV3:DK4" si="2">IF(ISBLANK(BC3)=TRUE,"",BC3)</f>
        <v>43090</v>
      </c>
      <c r="CY3" s="280">
        <f t="shared" si="2"/>
        <v>43092</v>
      </c>
      <c r="CZ3" s="280">
        <f t="shared" si="2"/>
        <v>43098</v>
      </c>
      <c r="DA3" s="280">
        <f t="shared" si="2"/>
        <v>43101</v>
      </c>
      <c r="DB3" s="280">
        <f t="shared" si="2"/>
        <v>43103</v>
      </c>
      <c r="DC3" s="280">
        <f t="shared" si="2"/>
        <v>43106</v>
      </c>
      <c r="DD3" s="280">
        <f t="shared" si="2"/>
        <v>43108</v>
      </c>
      <c r="DE3" s="280">
        <f t="shared" si="2"/>
        <v>43111</v>
      </c>
      <c r="DF3" s="280">
        <f t="shared" si="2"/>
        <v>43114</v>
      </c>
      <c r="DG3" s="280">
        <f t="shared" si="2"/>
        <v>43116</v>
      </c>
      <c r="DH3" s="280">
        <f t="shared" si="2"/>
        <v>43119</v>
      </c>
      <c r="DI3" s="280">
        <f t="shared" si="2"/>
        <v>43122</v>
      </c>
      <c r="DJ3" s="280">
        <f t="shared" si="2"/>
        <v>43126</v>
      </c>
      <c r="DK3" s="280">
        <f t="shared" si="2"/>
        <v>43131</v>
      </c>
    </row>
    <row r="4" spans="1:115" s="205" customFormat="1" ht="15.75">
      <c r="A4" s="281" t="s">
        <v>5</v>
      </c>
      <c r="B4" s="282" t="s">
        <v>6</v>
      </c>
      <c r="C4" s="283" t="s">
        <v>7</v>
      </c>
      <c r="D4" s="281" t="s">
        <v>14</v>
      </c>
      <c r="E4" s="196" t="s">
        <v>10</v>
      </c>
      <c r="F4" s="197" t="s">
        <v>1</v>
      </c>
      <c r="G4" s="284" t="s">
        <v>69</v>
      </c>
      <c r="H4" s="285" t="s">
        <v>2</v>
      </c>
      <c r="I4" s="197" t="s">
        <v>1</v>
      </c>
      <c r="J4" s="285" t="s">
        <v>2</v>
      </c>
      <c r="K4" s="285" t="s">
        <v>21</v>
      </c>
      <c r="L4" s="285" t="s">
        <v>22</v>
      </c>
      <c r="M4" s="285" t="s">
        <v>3</v>
      </c>
      <c r="N4" s="285" t="s">
        <v>4</v>
      </c>
      <c r="O4" s="285" t="s">
        <v>23</v>
      </c>
      <c r="P4" s="285" t="s">
        <v>59</v>
      </c>
      <c r="Q4" s="199" t="s">
        <v>24</v>
      </c>
      <c r="R4" s="286" t="s">
        <v>25</v>
      </c>
      <c r="S4" s="287" t="s">
        <v>70</v>
      </c>
      <c r="T4" s="287" t="s">
        <v>71</v>
      </c>
      <c r="U4" s="201" t="s">
        <v>19</v>
      </c>
      <c r="V4" s="202" t="s">
        <v>8</v>
      </c>
      <c r="W4" s="288">
        <f>IF(ISBLANK(W3)=TRUE,"",W3-$I$5)</f>
        <v>-1</v>
      </c>
      <c r="X4" s="288">
        <f t="shared" ref="X4:BP4" si="3">IF(ISBLANK(X3)=TRUE,"",X3-$I$5)</f>
        <v>0</v>
      </c>
      <c r="Y4" s="288">
        <f t="shared" si="3"/>
        <v>1</v>
      </c>
      <c r="Z4" s="288">
        <f t="shared" si="3"/>
        <v>2</v>
      </c>
      <c r="AA4" s="288">
        <f t="shared" si="3"/>
        <v>5</v>
      </c>
      <c r="AB4" s="288">
        <f t="shared" si="3"/>
        <v>7</v>
      </c>
      <c r="AC4" s="288">
        <f t="shared" si="3"/>
        <v>9</v>
      </c>
      <c r="AD4" s="288">
        <f t="shared" si="3"/>
        <v>12</v>
      </c>
      <c r="AE4" s="288">
        <f t="shared" si="3"/>
        <v>14</v>
      </c>
      <c r="AF4" s="288">
        <f t="shared" si="3"/>
        <v>16</v>
      </c>
      <c r="AG4" s="288">
        <f t="shared" si="3"/>
        <v>19</v>
      </c>
      <c r="AH4" s="288">
        <f t="shared" si="3"/>
        <v>21</v>
      </c>
      <c r="AI4" s="288">
        <f t="shared" si="3"/>
        <v>23</v>
      </c>
      <c r="AJ4" s="288">
        <f t="shared" si="3"/>
        <v>25</v>
      </c>
      <c r="AK4" s="288">
        <f t="shared" si="3"/>
        <v>27</v>
      </c>
      <c r="AL4" s="288">
        <f t="shared" si="3"/>
        <v>29</v>
      </c>
      <c r="AM4" s="288">
        <f t="shared" si="3"/>
        <v>32</v>
      </c>
      <c r="AN4" s="288">
        <f t="shared" si="3"/>
        <v>35</v>
      </c>
      <c r="AO4" s="288">
        <f t="shared" si="3"/>
        <v>37</v>
      </c>
      <c r="AP4" s="288">
        <f t="shared" si="3"/>
        <v>40</v>
      </c>
      <c r="AQ4" s="288">
        <f t="shared" si="3"/>
        <v>43</v>
      </c>
      <c r="AR4" s="288">
        <f t="shared" si="3"/>
        <v>46</v>
      </c>
      <c r="AS4" s="288">
        <f t="shared" si="3"/>
        <v>48</v>
      </c>
      <c r="AT4" s="288">
        <f t="shared" si="3"/>
        <v>51</v>
      </c>
      <c r="AU4" s="288">
        <f t="shared" si="3"/>
        <v>54</v>
      </c>
      <c r="AV4" s="288">
        <f t="shared" si="3"/>
        <v>56</v>
      </c>
      <c r="AW4" s="288">
        <f t="shared" si="3"/>
        <v>58</v>
      </c>
      <c r="AX4" s="288">
        <f t="shared" si="3"/>
        <v>62</v>
      </c>
      <c r="AY4" s="288">
        <f t="shared" si="3"/>
        <v>65</v>
      </c>
      <c r="AZ4" s="288">
        <f t="shared" si="3"/>
        <v>68</v>
      </c>
      <c r="BA4" s="288">
        <f t="shared" si="3"/>
        <v>72</v>
      </c>
      <c r="BB4" s="288">
        <f t="shared" si="3"/>
        <v>75</v>
      </c>
      <c r="BC4" s="288">
        <f t="shared" si="3"/>
        <v>78</v>
      </c>
      <c r="BD4" s="288">
        <f t="shared" si="3"/>
        <v>80</v>
      </c>
      <c r="BE4" s="288">
        <f t="shared" si="3"/>
        <v>86</v>
      </c>
      <c r="BF4" s="288">
        <f t="shared" si="3"/>
        <v>89</v>
      </c>
      <c r="BG4" s="288">
        <f t="shared" si="3"/>
        <v>91</v>
      </c>
      <c r="BH4" s="288">
        <f t="shared" si="3"/>
        <v>94</v>
      </c>
      <c r="BI4" s="288">
        <f t="shared" si="3"/>
        <v>96</v>
      </c>
      <c r="BJ4" s="288">
        <f t="shared" si="3"/>
        <v>99</v>
      </c>
      <c r="BK4" s="288">
        <f t="shared" si="3"/>
        <v>102</v>
      </c>
      <c r="BL4" s="288">
        <f t="shared" si="3"/>
        <v>104</v>
      </c>
      <c r="BM4" s="288">
        <f t="shared" si="3"/>
        <v>107</v>
      </c>
      <c r="BN4" s="288">
        <f t="shared" si="3"/>
        <v>110</v>
      </c>
      <c r="BO4" s="288">
        <f t="shared" si="3"/>
        <v>114</v>
      </c>
      <c r="BP4" s="288">
        <f t="shared" si="3"/>
        <v>119</v>
      </c>
      <c r="BQ4" s="246" t="s">
        <v>57</v>
      </c>
      <c r="BR4" s="288">
        <f t="shared" si="0"/>
        <v>-1</v>
      </c>
      <c r="BS4" s="288">
        <f t="shared" si="0"/>
        <v>0</v>
      </c>
      <c r="BT4" s="288">
        <f t="shared" si="0"/>
        <v>1</v>
      </c>
      <c r="BU4" s="288">
        <f t="shared" si="0"/>
        <v>2</v>
      </c>
      <c r="BV4" s="288">
        <f t="shared" si="0"/>
        <v>5</v>
      </c>
      <c r="BW4" s="288">
        <f t="shared" si="0"/>
        <v>7</v>
      </c>
      <c r="BX4" s="288">
        <f t="shared" si="0"/>
        <v>9</v>
      </c>
      <c r="BY4" s="288">
        <f t="shared" si="0"/>
        <v>12</v>
      </c>
      <c r="BZ4" s="288">
        <f t="shared" si="0"/>
        <v>14</v>
      </c>
      <c r="CA4" s="288">
        <f t="shared" si="0"/>
        <v>16</v>
      </c>
      <c r="CB4" s="288">
        <f t="shared" si="0"/>
        <v>19</v>
      </c>
      <c r="CC4" s="288">
        <f t="shared" si="0"/>
        <v>21</v>
      </c>
      <c r="CD4" s="288">
        <f t="shared" si="0"/>
        <v>23</v>
      </c>
      <c r="CE4" s="288">
        <f t="shared" si="0"/>
        <v>25</v>
      </c>
      <c r="CF4" s="288">
        <f t="shared" si="0"/>
        <v>27</v>
      </c>
      <c r="CG4" s="288">
        <f t="shared" si="0"/>
        <v>29</v>
      </c>
      <c r="CH4" s="288">
        <f t="shared" si="1"/>
        <v>32</v>
      </c>
      <c r="CI4" s="288">
        <f t="shared" si="1"/>
        <v>35</v>
      </c>
      <c r="CJ4" s="288">
        <f t="shared" si="1"/>
        <v>37</v>
      </c>
      <c r="CK4" s="288">
        <f t="shared" si="1"/>
        <v>40</v>
      </c>
      <c r="CL4" s="288">
        <f t="shared" si="1"/>
        <v>43</v>
      </c>
      <c r="CM4" s="288">
        <f t="shared" si="1"/>
        <v>46</v>
      </c>
      <c r="CN4" s="288">
        <f t="shared" si="1"/>
        <v>48</v>
      </c>
      <c r="CO4" s="288">
        <f t="shared" si="1"/>
        <v>51</v>
      </c>
      <c r="CP4" s="288">
        <f t="shared" si="1"/>
        <v>54</v>
      </c>
      <c r="CQ4" s="288">
        <f t="shared" si="1"/>
        <v>56</v>
      </c>
      <c r="CR4" s="288">
        <f t="shared" si="1"/>
        <v>58</v>
      </c>
      <c r="CS4" s="288">
        <f t="shared" si="1"/>
        <v>62</v>
      </c>
      <c r="CT4" s="288">
        <f t="shared" si="1"/>
        <v>65</v>
      </c>
      <c r="CU4" s="288">
        <f t="shared" si="1"/>
        <v>68</v>
      </c>
      <c r="CV4" s="288">
        <f t="shared" si="2"/>
        <v>72</v>
      </c>
      <c r="CW4" s="288">
        <f t="shared" si="2"/>
        <v>75</v>
      </c>
      <c r="CX4" s="288">
        <f t="shared" si="2"/>
        <v>78</v>
      </c>
      <c r="CY4" s="288">
        <f t="shared" si="2"/>
        <v>80</v>
      </c>
      <c r="CZ4" s="288">
        <f t="shared" si="2"/>
        <v>86</v>
      </c>
      <c r="DA4" s="288">
        <f t="shared" si="2"/>
        <v>89</v>
      </c>
      <c r="DB4" s="288">
        <f t="shared" si="2"/>
        <v>91</v>
      </c>
      <c r="DC4" s="288">
        <f t="shared" si="2"/>
        <v>94</v>
      </c>
      <c r="DD4" s="288">
        <f t="shared" si="2"/>
        <v>96</v>
      </c>
      <c r="DE4" s="288">
        <f t="shared" si="2"/>
        <v>99</v>
      </c>
      <c r="DF4" s="288">
        <f t="shared" si="2"/>
        <v>102</v>
      </c>
      <c r="DG4" s="288">
        <f t="shared" si="2"/>
        <v>104</v>
      </c>
      <c r="DH4" s="288">
        <f t="shared" si="2"/>
        <v>107</v>
      </c>
      <c r="DI4" s="288">
        <f t="shared" si="2"/>
        <v>110</v>
      </c>
      <c r="DJ4" s="288">
        <f t="shared" si="2"/>
        <v>114</v>
      </c>
      <c r="DK4" s="288">
        <f t="shared" si="2"/>
        <v>119</v>
      </c>
    </row>
    <row r="5" spans="1:115">
      <c r="A5" s="25">
        <v>1093342</v>
      </c>
      <c r="B5" s="26">
        <v>11</v>
      </c>
      <c r="C5" s="27"/>
      <c r="D5" s="25"/>
      <c r="E5" s="289" t="s">
        <v>63</v>
      </c>
      <c r="F5" s="29">
        <v>43003</v>
      </c>
      <c r="G5" s="210" t="s">
        <v>67</v>
      </c>
      <c r="H5" s="78"/>
      <c r="I5" s="29">
        <v>43012</v>
      </c>
      <c r="J5" s="30">
        <v>29.3</v>
      </c>
      <c r="K5" s="30">
        <v>6</v>
      </c>
      <c r="L5" s="30">
        <v>5</v>
      </c>
      <c r="M5" s="35">
        <f>K5*L5^2*0.52</f>
        <v>78</v>
      </c>
      <c r="N5" s="30">
        <f t="shared" ref="N5:N14" si="4">M5*10</f>
        <v>780</v>
      </c>
      <c r="O5" s="30">
        <f>M5*10/18.26</f>
        <v>42.716319824753555</v>
      </c>
      <c r="P5" s="30">
        <v>834</v>
      </c>
      <c r="Q5" s="140">
        <f>P5/M5</f>
        <v>10.692307692307692</v>
      </c>
      <c r="R5" s="142">
        <f t="shared" ref="R5:R14" si="5">P5/N5</f>
        <v>1.0692307692307692</v>
      </c>
      <c r="S5" s="238">
        <v>125</v>
      </c>
      <c r="T5" s="239"/>
      <c r="U5" s="31"/>
      <c r="V5" s="121"/>
      <c r="W5" s="78">
        <f>6*5*5*0.52</f>
        <v>78</v>
      </c>
      <c r="X5" s="78">
        <v>78</v>
      </c>
      <c r="Y5" s="78">
        <f>6.3*5.3*5.3*0.52</f>
        <v>92.022840000000002</v>
      </c>
      <c r="Z5" s="78">
        <f>5.8*5.4*5.4*0.52</f>
        <v>87.946560000000005</v>
      </c>
      <c r="AA5" s="78">
        <f>6.9*5.1*5.1*0.52</f>
        <v>93.323879999999988</v>
      </c>
      <c r="AB5" s="78">
        <f>7.4*5.8*5.8*0.52</f>
        <v>129.44672</v>
      </c>
      <c r="AC5" s="78">
        <f>6.3*5.4*5.4*0.52</f>
        <v>95.528160000000014</v>
      </c>
      <c r="AD5" s="78">
        <f>6.4*5.8*5.8*0.52</f>
        <v>111.95392</v>
      </c>
      <c r="AE5" s="78">
        <f>6*4.8*4.8*0.52</f>
        <v>71.884799999999998</v>
      </c>
      <c r="AF5" s="78">
        <f>6*4.2*4.2*0.52</f>
        <v>55.036800000000014</v>
      </c>
      <c r="AG5" s="78">
        <f>5.7*3.9*3.9*0.52</f>
        <v>45.082440000000005</v>
      </c>
      <c r="AH5" s="78">
        <f>4.4*3.9*3.9*0.52</f>
        <v>34.80048</v>
      </c>
      <c r="AI5" s="78">
        <f>4.3*3.7*3.7*0.52</f>
        <v>30.610840000000003</v>
      </c>
      <c r="AJ5" s="78">
        <f>0*0</f>
        <v>0</v>
      </c>
      <c r="AK5" s="78">
        <f>2.2*1.9*1.9*0.52</f>
        <v>4.1298399999999997</v>
      </c>
      <c r="AL5" s="78">
        <f>3.7*3.3*3.3*0.52</f>
        <v>20.952359999999995</v>
      </c>
      <c r="AM5" s="78">
        <f>3.2*2.1*2.1*0.52</f>
        <v>7.3382400000000017</v>
      </c>
      <c r="AN5" s="78">
        <f>4.9*3.4*3.4*0.52</f>
        <v>29.454879999999999</v>
      </c>
      <c r="AO5" s="78">
        <f>4.5*3.9*3.9*0.52</f>
        <v>35.591400000000007</v>
      </c>
      <c r="AP5" s="78">
        <f>4.6*3.5*3.5*0.52</f>
        <v>29.302</v>
      </c>
      <c r="AQ5" s="78">
        <f>4.1*3.4*3.4*0.52</f>
        <v>24.645919999999997</v>
      </c>
      <c r="AR5" s="78">
        <f>4.5*3.6*3.6*0.52</f>
        <v>30.3264</v>
      </c>
      <c r="AS5" s="78">
        <f>4.7*3.7*3.7*0.52</f>
        <v>33.458360000000006</v>
      </c>
      <c r="AT5" s="78">
        <f>4.9*3.9*3.9*0.52</f>
        <v>38.75508</v>
      </c>
      <c r="AU5" s="78">
        <f>5.3*4.3*4.3*0.52</f>
        <v>50.958439999999996</v>
      </c>
      <c r="AV5" s="78">
        <f>4.4*4*4*0.52</f>
        <v>36.608000000000004</v>
      </c>
      <c r="AW5" s="78">
        <f>5.4*4.4*4.4*0.52</f>
        <v>54.362880000000018</v>
      </c>
      <c r="AX5" s="78">
        <f>5.3*4.8*4.8*0.52</f>
        <v>63.498239999999996</v>
      </c>
      <c r="AY5" s="78">
        <f>6.6*5.2*5.2*0.52</f>
        <v>92.801280000000006</v>
      </c>
      <c r="AZ5" s="78">
        <f>6.5*5.2*5.2*0.52</f>
        <v>91.395200000000017</v>
      </c>
      <c r="BA5" s="78">
        <f>6.1*5.2*5.2*0.52</f>
        <v>85.770879999999991</v>
      </c>
      <c r="BB5" s="78">
        <f>6.7*5.9*5.9*0.52</f>
        <v>121.27804000000002</v>
      </c>
      <c r="BC5" s="78">
        <f>6.5*6*6*0.52</f>
        <v>121.68</v>
      </c>
      <c r="BD5" s="78">
        <f>7.6*6.7*6.7*0.52</f>
        <v>177.40528000000003</v>
      </c>
      <c r="BE5" s="78">
        <f>7.7*7.5*7.5*0.52</f>
        <v>225.22499999999999</v>
      </c>
      <c r="BF5" s="78">
        <f>7.4*6.6*6.6*0.52</f>
        <v>167.61887999999996</v>
      </c>
      <c r="BG5" s="78">
        <f>8.8*7.6*7.6*0.52</f>
        <v>264.30975999999998</v>
      </c>
      <c r="BH5" s="78">
        <f>9.6*7.6*7.6*0.52</f>
        <v>288.33792</v>
      </c>
      <c r="BI5" s="78">
        <f>9.2*9.1*9.1*0.52</f>
        <v>396.16303999999997</v>
      </c>
      <c r="BJ5" s="78">
        <f>10*8.1*8.1*0.52</f>
        <v>341.17200000000003</v>
      </c>
      <c r="BK5" s="78">
        <f>9.9*8.9*8.9*0.52</f>
        <v>407.77308000000011</v>
      </c>
      <c r="BL5" s="78">
        <f>10*8.6*8.6*0.52</f>
        <v>384.59200000000004</v>
      </c>
      <c r="BM5" s="78">
        <f>11*9.8*9.8*0.52</f>
        <v>549.34880000000021</v>
      </c>
      <c r="BN5" s="78">
        <f>10.5*10.1*10.1*0.52</f>
        <v>556.97460000000001</v>
      </c>
      <c r="BO5" s="78">
        <f>12.3*10.2*10.2*0.52</f>
        <v>665.43983999999989</v>
      </c>
      <c r="BP5" s="78">
        <f>12.5*10.9*10.9*0.52</f>
        <v>772.26499999999999</v>
      </c>
      <c r="BQ5" s="32"/>
      <c r="BR5" s="231">
        <f t="shared" ref="BR5:CG14" si="6">IF(OR(ISERROR(W5/$M5)=TRUE,ISBLANK(W5)=TRUE),"",W5/$M5)</f>
        <v>1</v>
      </c>
      <c r="BS5" s="231">
        <f t="shared" si="6"/>
        <v>1</v>
      </c>
      <c r="BT5" s="231">
        <f t="shared" si="6"/>
        <v>1.1797800000000001</v>
      </c>
      <c r="BU5" s="231">
        <f t="shared" si="6"/>
        <v>1.1275200000000001</v>
      </c>
      <c r="BV5" s="231">
        <f t="shared" si="6"/>
        <v>1.1964599999999999</v>
      </c>
      <c r="BW5" s="231">
        <f t="shared" si="6"/>
        <v>1.6595733333333333</v>
      </c>
      <c r="BX5" s="231">
        <f t="shared" si="6"/>
        <v>1.2247200000000003</v>
      </c>
      <c r="BY5" s="231">
        <f t="shared" si="6"/>
        <v>1.4353066666666667</v>
      </c>
      <c r="BZ5" s="231">
        <f t="shared" si="6"/>
        <v>0.92159999999999997</v>
      </c>
      <c r="CA5" s="231">
        <f t="shared" si="6"/>
        <v>0.70560000000000023</v>
      </c>
      <c r="CB5" s="231">
        <f t="shared" si="6"/>
        <v>0.57798000000000005</v>
      </c>
      <c r="CC5" s="231">
        <f t="shared" si="6"/>
        <v>0.44616</v>
      </c>
      <c r="CD5" s="231">
        <f t="shared" si="6"/>
        <v>0.39244666666666672</v>
      </c>
      <c r="CE5" s="231">
        <f t="shared" si="6"/>
        <v>0</v>
      </c>
      <c r="CF5" s="231">
        <f t="shared" si="6"/>
        <v>5.2946666666666663E-2</v>
      </c>
      <c r="CG5" s="231">
        <f t="shared" si="6"/>
        <v>0.26861999999999991</v>
      </c>
      <c r="CH5" s="231">
        <f t="shared" ref="CH5:CW14" si="7">IF(OR(ISERROR(AM5/$M5)=TRUE,ISBLANK(AM5)=TRUE),"",AM5/$M5)</f>
        <v>9.4080000000000025E-2</v>
      </c>
      <c r="CI5" s="231">
        <f t="shared" si="7"/>
        <v>0.37762666666666667</v>
      </c>
      <c r="CJ5" s="231">
        <f t="shared" si="7"/>
        <v>0.45630000000000009</v>
      </c>
      <c r="CK5" s="231">
        <f t="shared" si="7"/>
        <v>0.37566666666666665</v>
      </c>
      <c r="CL5" s="231">
        <f t="shared" si="7"/>
        <v>0.31597333333333327</v>
      </c>
      <c r="CM5" s="231">
        <f t="shared" si="7"/>
        <v>0.38879999999999998</v>
      </c>
      <c r="CN5" s="231">
        <f t="shared" si="7"/>
        <v>0.42895333333333341</v>
      </c>
      <c r="CO5" s="231">
        <f t="shared" si="7"/>
        <v>0.49685999999999997</v>
      </c>
      <c r="CP5" s="231">
        <f t="shared" si="7"/>
        <v>0.6533133333333333</v>
      </c>
      <c r="CQ5" s="231">
        <f t="shared" si="7"/>
        <v>0.46933333333333338</v>
      </c>
      <c r="CR5" s="231">
        <f t="shared" si="7"/>
        <v>0.69696000000000025</v>
      </c>
      <c r="CS5" s="231">
        <f t="shared" si="7"/>
        <v>0.81407999999999991</v>
      </c>
      <c r="CT5" s="231">
        <f t="shared" si="7"/>
        <v>1.1897600000000002</v>
      </c>
      <c r="CU5" s="231">
        <f t="shared" si="7"/>
        <v>1.1717333333333335</v>
      </c>
      <c r="CV5" s="231">
        <f t="shared" si="7"/>
        <v>1.0996266666666665</v>
      </c>
      <c r="CW5" s="231">
        <f t="shared" si="7"/>
        <v>1.5548466666666669</v>
      </c>
      <c r="CX5" s="231">
        <f t="shared" ref="CX5:DK14" si="8">IF(OR(ISERROR(BC5/$M5)=TRUE,ISBLANK(BC5)=TRUE),"",BC5/$M5)</f>
        <v>1.56</v>
      </c>
      <c r="CY5" s="231">
        <f t="shared" si="8"/>
        <v>2.2744266666666673</v>
      </c>
      <c r="CZ5" s="231">
        <f t="shared" si="8"/>
        <v>2.8874999999999997</v>
      </c>
      <c r="DA5" s="231">
        <f t="shared" si="8"/>
        <v>2.1489599999999993</v>
      </c>
      <c r="DB5" s="231">
        <f t="shared" si="8"/>
        <v>3.3885866666666664</v>
      </c>
      <c r="DC5" s="231">
        <f t="shared" si="8"/>
        <v>3.6966399999999999</v>
      </c>
      <c r="DD5" s="231">
        <f t="shared" si="8"/>
        <v>5.0790133333333332</v>
      </c>
      <c r="DE5" s="231">
        <f t="shared" si="8"/>
        <v>4.3740000000000006</v>
      </c>
      <c r="DF5" s="231">
        <f t="shared" si="8"/>
        <v>5.2278600000000015</v>
      </c>
      <c r="DG5" s="231">
        <f t="shared" si="8"/>
        <v>4.9306666666666672</v>
      </c>
      <c r="DH5" s="231">
        <f t="shared" si="8"/>
        <v>7.0429333333333357</v>
      </c>
      <c r="DI5" s="231">
        <f t="shared" si="8"/>
        <v>7.1406999999999998</v>
      </c>
      <c r="DJ5" s="231">
        <f t="shared" si="8"/>
        <v>8.5312799999999989</v>
      </c>
      <c r="DK5" s="231">
        <f t="shared" si="8"/>
        <v>9.9008333333333329</v>
      </c>
    </row>
    <row r="6" spans="1:115">
      <c r="A6" s="25">
        <v>1093342</v>
      </c>
      <c r="B6" s="1">
        <v>12</v>
      </c>
      <c r="C6" s="27"/>
      <c r="D6" s="25"/>
      <c r="E6" s="289" t="s">
        <v>63</v>
      </c>
      <c r="F6" s="29">
        <v>43003</v>
      </c>
      <c r="G6" s="210" t="s">
        <v>67</v>
      </c>
      <c r="H6" s="83"/>
      <c r="I6" s="29">
        <v>43012</v>
      </c>
      <c r="J6" s="35">
        <v>29.2</v>
      </c>
      <c r="K6" s="35">
        <v>6.9</v>
      </c>
      <c r="L6" s="35">
        <v>5.3</v>
      </c>
      <c r="M6" s="35">
        <f t="shared" ref="M6:M14" si="9">K6*L6^2*0.52</f>
        <v>100.78692000000001</v>
      </c>
      <c r="N6" s="30">
        <f t="shared" si="4"/>
        <v>1007.8692000000001</v>
      </c>
      <c r="O6" s="30">
        <f t="shared" ref="O6:O14" si="10">M6*10/18.26</f>
        <v>55.195465498357066</v>
      </c>
      <c r="P6" s="35">
        <v>1067</v>
      </c>
      <c r="Q6" s="140">
        <f t="shared" ref="Q6:Q14" si="11">P6/M6</f>
        <v>10.586691209533935</v>
      </c>
      <c r="R6" s="142">
        <f t="shared" si="5"/>
        <v>1.0586691209533934</v>
      </c>
      <c r="S6" s="238">
        <v>125</v>
      </c>
      <c r="T6" s="239"/>
      <c r="U6" s="31"/>
      <c r="V6" s="121"/>
      <c r="W6" s="78">
        <f>6.6*5.4*5.4*0.52</f>
        <v>100.07712000000001</v>
      </c>
      <c r="X6" s="83">
        <v>100.78692000000001</v>
      </c>
      <c r="Y6" s="83">
        <f>7.2*6.8*6.8*0.52</f>
        <v>173.12255999999999</v>
      </c>
      <c r="Z6" s="83">
        <f>6.6*6.3*6.3*0.52</f>
        <v>136.21608000000001</v>
      </c>
      <c r="AA6" s="83">
        <f>7.3*6.3*6.3*0.52</f>
        <v>150.66324</v>
      </c>
      <c r="AB6" s="83">
        <f>6.5*5.9*5.9*0.52</f>
        <v>117.65780000000001</v>
      </c>
      <c r="AC6" s="83">
        <f>6.4*5.5*5.5*0.52</f>
        <v>100.67200000000001</v>
      </c>
      <c r="AD6" s="83">
        <f>6.6*5.5*5.5*0.52</f>
        <v>103.818</v>
      </c>
      <c r="AE6" s="83">
        <f>5.9*5.7*5.7*0.52</f>
        <v>99.679320000000018</v>
      </c>
      <c r="AF6" s="83">
        <f>6.1*5.2*5.2*0.52</f>
        <v>85.770879999999991</v>
      </c>
      <c r="AG6" s="83">
        <f>6.1*5.5*5.5*0.52</f>
        <v>95.952999999999989</v>
      </c>
      <c r="AH6" s="83">
        <f>5.9*4.7*4.7*0.52</f>
        <v>67.772120000000015</v>
      </c>
      <c r="AI6" s="83">
        <f>5.4*5.1*5.1*0.52</f>
        <v>73.036079999999998</v>
      </c>
      <c r="AJ6" s="83">
        <f>6.2*5.8*5.8*0.52</f>
        <v>108.45536000000001</v>
      </c>
      <c r="AK6" s="83">
        <f>5.8*5.3*5.3*0.52</f>
        <v>84.719440000000006</v>
      </c>
      <c r="AL6" s="83">
        <f>7.4*6*6*0.52</f>
        <v>138.52800000000002</v>
      </c>
      <c r="AM6" s="83">
        <f>6.9*6.2*6.2*0.52</f>
        <v>137.92272</v>
      </c>
      <c r="AN6" s="83">
        <f>5.9*5.5*5.5*0.52</f>
        <v>92.807000000000016</v>
      </c>
      <c r="AO6" s="83">
        <f>6.6*6.2*6.2*0.52</f>
        <v>131.92608000000001</v>
      </c>
      <c r="AP6" s="83">
        <f>7.2*6.2*6.2*0.52</f>
        <v>143.91936000000001</v>
      </c>
      <c r="AQ6" s="83">
        <f>6.8*6.5*6.5*0.52</f>
        <v>149.39599999999999</v>
      </c>
      <c r="AR6" s="83">
        <f>8.3*6.1*6.1*0.52</f>
        <v>160.59836000000001</v>
      </c>
      <c r="AS6" s="83">
        <f>8.2*7.3*7.3*0.52</f>
        <v>227.22855999999999</v>
      </c>
      <c r="AT6" s="83">
        <f>9*8.5*8.5*0.52</f>
        <v>338.13</v>
      </c>
      <c r="AU6" s="83">
        <f>9.3*8.3*8.3*0.52</f>
        <v>333.15204000000006</v>
      </c>
      <c r="AV6" s="83">
        <f>9.5*9*9*0.52</f>
        <v>400.14</v>
      </c>
      <c r="AW6" s="83">
        <f>9.8*9*9*0.52</f>
        <v>412.77600000000007</v>
      </c>
      <c r="AX6" s="83">
        <f>10.4*10.3*10.3*0.52</f>
        <v>573.73472000000004</v>
      </c>
      <c r="AY6" s="83">
        <f>10.9*10.7*10.7*0.52</f>
        <v>648.92931999999996</v>
      </c>
      <c r="AZ6" s="83">
        <f>11.3*10.7*10.7*0.52</f>
        <v>672.7432399999999</v>
      </c>
      <c r="BA6" s="83">
        <f>13.3*12.3*12.3*0.52</f>
        <v>1046.3216400000003</v>
      </c>
      <c r="BB6" s="83">
        <f>13.7*12.5*12.5*0.52</f>
        <v>1113.125</v>
      </c>
      <c r="BC6" s="83">
        <f>13.5*12.9*12.9*0.52</f>
        <v>1168.1982000000003</v>
      </c>
      <c r="BD6" s="83">
        <f>13.5*12.5*12.5*0.52</f>
        <v>1096.875</v>
      </c>
      <c r="BE6" s="83">
        <f>15.3*14.9*14.9*0.52</f>
        <v>1766.3115600000003</v>
      </c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36"/>
      <c r="BR6" s="230">
        <f t="shared" si="6"/>
        <v>0.99295741947466987</v>
      </c>
      <c r="BS6" s="230">
        <f t="shared" si="6"/>
        <v>1</v>
      </c>
      <c r="BT6" s="230">
        <f t="shared" si="6"/>
        <v>1.7177086074264396</v>
      </c>
      <c r="BU6" s="230">
        <f t="shared" si="6"/>
        <v>1.3515253765071895</v>
      </c>
      <c r="BV6" s="230">
        <f t="shared" si="6"/>
        <v>1.4948689770458308</v>
      </c>
      <c r="BW6" s="230">
        <f t="shared" si="6"/>
        <v>1.1673915623178086</v>
      </c>
      <c r="BX6" s="230">
        <f t="shared" si="6"/>
        <v>0.99885977267685133</v>
      </c>
      <c r="BY6" s="230">
        <f t="shared" si="6"/>
        <v>1.0300741405730027</v>
      </c>
      <c r="BZ6" s="230">
        <f t="shared" si="6"/>
        <v>0.98901047874069381</v>
      </c>
      <c r="CA6" s="230">
        <f t="shared" si="6"/>
        <v>0.8510120162417899</v>
      </c>
      <c r="CB6" s="230">
        <f t="shared" si="6"/>
        <v>0.95203822083262368</v>
      </c>
      <c r="CC6" s="230">
        <f t="shared" si="6"/>
        <v>0.67242971607823721</v>
      </c>
      <c r="CD6" s="230">
        <f t="shared" si="6"/>
        <v>0.72465831875802922</v>
      </c>
      <c r="CE6" s="230">
        <f t="shared" si="6"/>
        <v>1.0760856666718261</v>
      </c>
      <c r="CF6" s="230">
        <f t="shared" si="6"/>
        <v>0.84057971014492749</v>
      </c>
      <c r="CG6" s="230">
        <f t="shared" si="6"/>
        <v>1.3744640673611219</v>
      </c>
      <c r="CH6" s="230">
        <f t="shared" si="7"/>
        <v>1.3684585261658953</v>
      </c>
      <c r="CI6" s="230">
        <f t="shared" si="7"/>
        <v>0.9208238529364724</v>
      </c>
      <c r="CJ6" s="230">
        <f t="shared" si="7"/>
        <v>1.3089603293760739</v>
      </c>
      <c r="CK6" s="230">
        <f t="shared" si="7"/>
        <v>1.4279567229557169</v>
      </c>
      <c r="CL6" s="230">
        <f t="shared" si="7"/>
        <v>1.4822955200932817</v>
      </c>
      <c r="CM6" s="230">
        <f t="shared" si="7"/>
        <v>1.5934444668018428</v>
      </c>
      <c r="CN6" s="230">
        <f t="shared" si="7"/>
        <v>2.2545441412437244</v>
      </c>
      <c r="CO6" s="230">
        <f t="shared" si="7"/>
        <v>3.3548996238797648</v>
      </c>
      <c r="CP6" s="230">
        <f t="shared" si="7"/>
        <v>3.3055086910087144</v>
      </c>
      <c r="CQ6" s="230">
        <f t="shared" si="7"/>
        <v>3.9701580324113479</v>
      </c>
      <c r="CR6" s="230">
        <f t="shared" si="7"/>
        <v>4.095531443961181</v>
      </c>
      <c r="CS6" s="230">
        <f t="shared" si="7"/>
        <v>5.6925513747220373</v>
      </c>
      <c r="CT6" s="230">
        <f t="shared" si="7"/>
        <v>6.4386263614365822</v>
      </c>
      <c r="CU6" s="230">
        <f t="shared" si="7"/>
        <v>6.6749062279113183</v>
      </c>
      <c r="CV6" s="230">
        <f t="shared" si="7"/>
        <v>10.381522126085411</v>
      </c>
      <c r="CW6" s="230">
        <f t="shared" si="7"/>
        <v>11.04433988061149</v>
      </c>
      <c r="CX6" s="230">
        <f t="shared" si="8"/>
        <v>11.590771897781975</v>
      </c>
      <c r="CY6" s="230">
        <f t="shared" si="8"/>
        <v>10.883108641478477</v>
      </c>
      <c r="CZ6" s="230">
        <f t="shared" si="8"/>
        <v>17.525206247001101</v>
      </c>
      <c r="DA6" s="230" t="str">
        <f t="shared" si="8"/>
        <v/>
      </c>
      <c r="DB6" s="230" t="str">
        <f t="shared" si="8"/>
        <v/>
      </c>
      <c r="DC6" s="230" t="str">
        <f t="shared" si="8"/>
        <v/>
      </c>
      <c r="DD6" s="230" t="str">
        <f t="shared" si="8"/>
        <v/>
      </c>
      <c r="DE6" s="230" t="str">
        <f t="shared" si="8"/>
        <v/>
      </c>
      <c r="DF6" s="230" t="str">
        <f t="shared" si="8"/>
        <v/>
      </c>
      <c r="DG6" s="230" t="str">
        <f t="shared" si="8"/>
        <v/>
      </c>
      <c r="DH6" s="230" t="str">
        <f t="shared" si="8"/>
        <v/>
      </c>
      <c r="DI6" s="230" t="str">
        <f t="shared" si="8"/>
        <v/>
      </c>
      <c r="DJ6" s="230" t="str">
        <f t="shared" si="8"/>
        <v/>
      </c>
      <c r="DK6" s="230" t="str">
        <f t="shared" si="8"/>
        <v/>
      </c>
    </row>
    <row r="7" spans="1:115">
      <c r="A7" s="25">
        <v>1093342</v>
      </c>
      <c r="B7" s="1">
        <v>13</v>
      </c>
      <c r="C7" s="27"/>
      <c r="D7" s="25"/>
      <c r="E7" s="289" t="s">
        <v>63</v>
      </c>
      <c r="F7" s="29">
        <v>43003</v>
      </c>
      <c r="G7" s="210" t="s">
        <v>67</v>
      </c>
      <c r="H7" s="83"/>
      <c r="I7" s="29">
        <v>43012</v>
      </c>
      <c r="J7" s="35">
        <v>26.5</v>
      </c>
      <c r="K7" s="35">
        <v>6.9</v>
      </c>
      <c r="L7" s="35">
        <v>5.5</v>
      </c>
      <c r="M7" s="35">
        <f t="shared" si="9"/>
        <v>108.53700000000002</v>
      </c>
      <c r="N7" s="30">
        <f t="shared" si="4"/>
        <v>1085.3700000000001</v>
      </c>
      <c r="O7" s="30">
        <f t="shared" si="10"/>
        <v>59.439759036144579</v>
      </c>
      <c r="P7" s="35">
        <v>1071</v>
      </c>
      <c r="Q7" s="140">
        <f t="shared" si="11"/>
        <v>9.8676027529782449</v>
      </c>
      <c r="R7" s="142">
        <f t="shared" si="5"/>
        <v>0.98676027529782462</v>
      </c>
      <c r="S7" s="238">
        <v>125</v>
      </c>
      <c r="T7" s="239"/>
      <c r="U7" s="31"/>
      <c r="V7" s="121"/>
      <c r="W7" s="78">
        <f>6.1*5.2*5.2*0.52</f>
        <v>85.770879999999991</v>
      </c>
      <c r="X7" s="83">
        <v>108.53700000000002</v>
      </c>
      <c r="Y7" s="83">
        <f>6.6*6.5*6.5*0.52</f>
        <v>145.00199999999998</v>
      </c>
      <c r="Z7" s="83">
        <f>7*5.8*5.8*0.52</f>
        <v>122.4496</v>
      </c>
      <c r="AA7" s="83">
        <f>6.7*6.1*6.1*0.52</f>
        <v>129.63963999999999</v>
      </c>
      <c r="AB7" s="83">
        <f>7.4*5.8*5.8*0.52</f>
        <v>129.44672</v>
      </c>
      <c r="AC7" s="83">
        <f>7.5*5.3*5.3*0.52</f>
        <v>109.551</v>
      </c>
      <c r="AD7" s="83">
        <f>6.8*5.4*5.4*0.52</f>
        <v>103.10976000000001</v>
      </c>
      <c r="AE7" s="83">
        <f>6.4*5.4*5.4*0.52</f>
        <v>97.044480000000021</v>
      </c>
      <c r="AF7" s="83">
        <f>6.7*5.2*5.2*0.52</f>
        <v>94.207360000000023</v>
      </c>
      <c r="AG7" s="83">
        <f>6.2*5.1*5.1*0.52</f>
        <v>83.856239999999985</v>
      </c>
      <c r="AH7" s="83">
        <f>4.8*4.5*4.5*0.52</f>
        <v>50.543999999999997</v>
      </c>
      <c r="AI7" s="83">
        <f>6*4.8*4.8*0.52</f>
        <v>71.884799999999998</v>
      </c>
      <c r="AJ7" s="83">
        <f>4.8*4.3*4.3*0.52</f>
        <v>46.151039999999995</v>
      </c>
      <c r="AK7" s="83">
        <f>5.1*4.7*4.7*0.52</f>
        <v>58.582679999999996</v>
      </c>
      <c r="AL7" s="83">
        <f>6.6*5.2*5.2*0.52</f>
        <v>92.801280000000006</v>
      </c>
      <c r="AM7" s="83">
        <f>5.8*5.3*5.3*0.52</f>
        <v>84.719440000000006</v>
      </c>
      <c r="AN7" s="83">
        <f>6*5.5*5.5*0.52</f>
        <v>94.38000000000001</v>
      </c>
      <c r="AO7" s="83">
        <f>6.7*5.4*5.4*0.52</f>
        <v>101.59344000000003</v>
      </c>
      <c r="AP7" s="83">
        <f>6.5*6.1*6.1*0.52</f>
        <v>125.76979999999999</v>
      </c>
      <c r="AQ7" s="83">
        <f>6.1*6*6*0.52</f>
        <v>114.19199999999999</v>
      </c>
      <c r="AR7" s="83">
        <f>6.7*5.8*5.8*0.52</f>
        <v>117.20175999999999</v>
      </c>
      <c r="AS7" s="83">
        <f>7.5*7.1*7.1*0.52</f>
        <v>196.59899999999999</v>
      </c>
      <c r="AT7" s="83">
        <f>7.5*7.3*7.3*0.52</f>
        <v>207.83100000000002</v>
      </c>
      <c r="AU7" s="83">
        <f>8.8*7.9*7.9*0.52</f>
        <v>285.58816000000007</v>
      </c>
      <c r="AV7" s="83">
        <f>7.7*7.3*7.3*0.52</f>
        <v>213.37315999999998</v>
      </c>
      <c r="AW7" s="83">
        <f>8.9*8.2*8.2*0.52</f>
        <v>311.18671999999992</v>
      </c>
      <c r="AX7" s="83">
        <f>9.9*8.6*8.6*0.52</f>
        <v>380.74608000000001</v>
      </c>
      <c r="AY7" s="83">
        <f>11.2*9.7*9.7*0.52</f>
        <v>547.98015999999984</v>
      </c>
      <c r="AZ7" s="83">
        <f>11.6*10.2*10.2*0.52</f>
        <v>627.56927999999994</v>
      </c>
      <c r="BA7" s="83">
        <f>12.9*10.9*10.9*0.52</f>
        <v>796.97748000000013</v>
      </c>
      <c r="BB7" s="83">
        <f>12.8*11*11*0.52</f>
        <v>805.37600000000009</v>
      </c>
      <c r="BC7" s="83">
        <f>13.7*12.5*12.5*0.52</f>
        <v>1113.125</v>
      </c>
      <c r="BD7" s="83">
        <f>14.9*12.2*12.2*0.52</f>
        <v>1153.2123200000001</v>
      </c>
      <c r="BE7" s="83">
        <f>15.2*13.1*13.1*0.52</f>
        <v>1356.40544</v>
      </c>
      <c r="BF7" s="83">
        <f>14.2*13.8*13.8*0.52</f>
        <v>1406.2089600000002</v>
      </c>
      <c r="BG7" s="83">
        <f>14.8*13.4*13.4*0.52</f>
        <v>1381.8937600000002</v>
      </c>
      <c r="BH7" s="83">
        <f>14.9*13.5*13.5*0.52</f>
        <v>1412.0730000000001</v>
      </c>
      <c r="BI7" s="83">
        <f>15.3*14*14*0.52</f>
        <v>1559.3760000000002</v>
      </c>
      <c r="BJ7" s="83">
        <f>15.5*14.1*14.1*0.52</f>
        <v>1602.4086</v>
      </c>
      <c r="BK7" s="83"/>
      <c r="BL7" s="83"/>
      <c r="BM7" s="83"/>
      <c r="BN7" s="83"/>
      <c r="BO7" s="83"/>
      <c r="BP7" s="83"/>
      <c r="BQ7" s="36"/>
      <c r="BR7" s="230">
        <f t="shared" si="6"/>
        <v>0.79024553838783063</v>
      </c>
      <c r="BS7" s="230">
        <f t="shared" si="6"/>
        <v>1</v>
      </c>
      <c r="BT7" s="230">
        <f t="shared" si="6"/>
        <v>1.3359683794466399</v>
      </c>
      <c r="BU7" s="230">
        <f t="shared" si="6"/>
        <v>1.1281830159300514</v>
      </c>
      <c r="BV7" s="230">
        <f t="shared" si="6"/>
        <v>1.1944280752185887</v>
      </c>
      <c r="BW7" s="230">
        <f t="shared" si="6"/>
        <v>1.1926506168403399</v>
      </c>
      <c r="BX7" s="230">
        <f t="shared" si="6"/>
        <v>1.0093424362199064</v>
      </c>
      <c r="BY7" s="230">
        <f t="shared" si="6"/>
        <v>0.94999640675529995</v>
      </c>
      <c r="BZ7" s="230">
        <f t="shared" si="6"/>
        <v>0.89411426518145887</v>
      </c>
      <c r="CA7" s="230">
        <f t="shared" si="6"/>
        <v>0.86797460773745361</v>
      </c>
      <c r="CB7" s="230">
        <f t="shared" si="6"/>
        <v>0.77260510240747371</v>
      </c>
      <c r="CC7" s="230">
        <f t="shared" si="6"/>
        <v>0.46568451311534304</v>
      </c>
      <c r="CD7" s="230">
        <f t="shared" si="6"/>
        <v>0.66230686309737674</v>
      </c>
      <c r="CE7" s="230">
        <f t="shared" si="6"/>
        <v>0.42521020481494776</v>
      </c>
      <c r="CF7" s="230">
        <f t="shared" si="6"/>
        <v>0.53974847287100236</v>
      </c>
      <c r="CG7" s="230">
        <f t="shared" si="6"/>
        <v>0.85501976284584968</v>
      </c>
      <c r="CH7" s="230">
        <f t="shared" si="7"/>
        <v>0.78055815067672762</v>
      </c>
      <c r="CI7" s="230">
        <f t="shared" si="7"/>
        <v>0.86956521739130432</v>
      </c>
      <c r="CJ7" s="230">
        <f t="shared" si="7"/>
        <v>0.93602587136183979</v>
      </c>
      <c r="CK7" s="230">
        <f t="shared" si="7"/>
        <v>1.1587735058090787</v>
      </c>
      <c r="CL7" s="230">
        <f t="shared" si="7"/>
        <v>1.0521020481494787</v>
      </c>
      <c r="CM7" s="230">
        <f t="shared" si="7"/>
        <v>1.0798323152473348</v>
      </c>
      <c r="CN7" s="230">
        <f t="shared" si="7"/>
        <v>1.811354653251886</v>
      </c>
      <c r="CO7" s="230">
        <f t="shared" si="7"/>
        <v>1.9148401006108513</v>
      </c>
      <c r="CP7" s="230">
        <f t="shared" si="7"/>
        <v>2.631251646903821</v>
      </c>
      <c r="CQ7" s="230">
        <f t="shared" si="7"/>
        <v>1.9659025032938071</v>
      </c>
      <c r="CR7" s="230">
        <f t="shared" si="7"/>
        <v>2.8671026470235943</v>
      </c>
      <c r="CS7" s="230">
        <f t="shared" si="7"/>
        <v>3.5079841897233197</v>
      </c>
      <c r="CT7" s="230">
        <f t="shared" si="7"/>
        <v>5.0487866810396431</v>
      </c>
      <c r="CU7" s="230">
        <f t="shared" si="7"/>
        <v>5.7820768954365773</v>
      </c>
      <c r="CV7" s="230">
        <f t="shared" si="7"/>
        <v>7.3429105282069704</v>
      </c>
      <c r="CW7" s="230">
        <f t="shared" si="7"/>
        <v>7.420289855072463</v>
      </c>
      <c r="CX7" s="230">
        <f t="shared" si="8"/>
        <v>10.255719247814108</v>
      </c>
      <c r="CY7" s="230">
        <f t="shared" si="8"/>
        <v>10.625061684034016</v>
      </c>
      <c r="CZ7" s="230">
        <f t="shared" si="8"/>
        <v>12.497170918672893</v>
      </c>
      <c r="DA7" s="230">
        <f t="shared" si="8"/>
        <v>12.956033057851238</v>
      </c>
      <c r="DB7" s="230">
        <f t="shared" si="8"/>
        <v>12.732006228290812</v>
      </c>
      <c r="DC7" s="230">
        <f t="shared" si="8"/>
        <v>13.010061085159897</v>
      </c>
      <c r="DD7" s="230">
        <f t="shared" si="8"/>
        <v>14.367229608336327</v>
      </c>
      <c r="DE7" s="230">
        <f t="shared" si="8"/>
        <v>14.76370822853036</v>
      </c>
      <c r="DF7" s="230" t="str">
        <f t="shared" si="8"/>
        <v/>
      </c>
      <c r="DG7" s="230" t="str">
        <f t="shared" si="8"/>
        <v/>
      </c>
      <c r="DH7" s="230" t="str">
        <f t="shared" si="8"/>
        <v/>
      </c>
      <c r="DI7" s="230" t="str">
        <f t="shared" si="8"/>
        <v/>
      </c>
      <c r="DJ7" s="230" t="str">
        <f t="shared" si="8"/>
        <v/>
      </c>
      <c r="DK7" s="230" t="str">
        <f t="shared" si="8"/>
        <v/>
      </c>
    </row>
    <row r="8" spans="1:115">
      <c r="A8" s="25">
        <v>1093342</v>
      </c>
      <c r="B8" s="1">
        <v>14</v>
      </c>
      <c r="C8" s="27"/>
      <c r="D8" s="25"/>
      <c r="E8" s="289" t="s">
        <v>63</v>
      </c>
      <c r="F8" s="29">
        <v>43003</v>
      </c>
      <c r="G8" s="210" t="s">
        <v>67</v>
      </c>
      <c r="H8" s="83"/>
      <c r="I8" s="29">
        <v>43012</v>
      </c>
      <c r="J8" s="35">
        <v>28.3</v>
      </c>
      <c r="K8" s="35">
        <v>6.8</v>
      </c>
      <c r="L8" s="35">
        <v>5.9</v>
      </c>
      <c r="M8" s="35">
        <f t="shared" si="9"/>
        <v>123.08816</v>
      </c>
      <c r="N8" s="30">
        <f t="shared" si="4"/>
        <v>1230.8815999999999</v>
      </c>
      <c r="O8" s="30">
        <f t="shared" si="10"/>
        <v>67.408630887185097</v>
      </c>
      <c r="P8" s="35">
        <v>1408</v>
      </c>
      <c r="Q8" s="140">
        <f t="shared" si="11"/>
        <v>11.438955623351587</v>
      </c>
      <c r="R8" s="142">
        <f t="shared" si="5"/>
        <v>1.1438955623351588</v>
      </c>
      <c r="S8" s="238">
        <v>125</v>
      </c>
      <c r="T8" s="239"/>
      <c r="U8" s="31"/>
      <c r="V8" s="121"/>
      <c r="W8" s="78">
        <f>6.3*5.3*5.3*0.52</f>
        <v>92.022840000000002</v>
      </c>
      <c r="X8" s="83">
        <v>123.08816</v>
      </c>
      <c r="Y8" s="83">
        <f>6.5*6.1*6.1*0.52</f>
        <v>125.76979999999999</v>
      </c>
      <c r="Z8" s="83">
        <f>6.3*6.1*6.1*0.52</f>
        <v>121.89995999999999</v>
      </c>
      <c r="AA8" s="83">
        <f>6.1*6*6*0.52</f>
        <v>114.19199999999999</v>
      </c>
      <c r="AB8" s="83">
        <f>6.9*6.2*6.2*0.52</f>
        <v>137.92272</v>
      </c>
      <c r="AC8" s="83">
        <f>6.2*5.3*5.3*0.52</f>
        <v>90.562159999999992</v>
      </c>
      <c r="AD8" s="83">
        <f>5.9*5.5*5.5*0.52</f>
        <v>92.807000000000016</v>
      </c>
      <c r="AE8" s="83">
        <f>6.5*5.4*5.4*0.52</f>
        <v>98.560800000000015</v>
      </c>
      <c r="AF8" s="83">
        <f>6.1*4.8*4.8*0.52</f>
        <v>73.082879999999989</v>
      </c>
      <c r="AG8" s="83">
        <f>4.8*4.3*4.3*0.52</f>
        <v>46.151039999999995</v>
      </c>
      <c r="AH8" s="83">
        <f>3.6*3.4*3.4*0.52</f>
        <v>21.640319999999999</v>
      </c>
      <c r="AI8" s="83">
        <f>2.6*2.2*2.2*0.52</f>
        <v>6.5436800000000019</v>
      </c>
      <c r="AJ8" s="83">
        <f>3.7*2.6*2.6*0.52</f>
        <v>13.006240000000002</v>
      </c>
      <c r="AK8" s="83">
        <f>3.4*2*2*0.52</f>
        <v>7.0720000000000001</v>
      </c>
      <c r="AL8" s="83">
        <f>3.8*2.8*2.8*0.52</f>
        <v>15.491839999999998</v>
      </c>
      <c r="AM8" s="83">
        <f>0</f>
        <v>0</v>
      </c>
      <c r="AN8" s="83">
        <f>0</f>
        <v>0</v>
      </c>
      <c r="AO8" s="83">
        <v>0</v>
      </c>
      <c r="AP8" s="83">
        <f>0</f>
        <v>0</v>
      </c>
      <c r="AQ8" s="83">
        <f>0</f>
        <v>0</v>
      </c>
      <c r="AR8" s="83">
        <f>0</f>
        <v>0</v>
      </c>
      <c r="AS8" s="83">
        <v>0</v>
      </c>
      <c r="AT8" s="83">
        <f>0</f>
        <v>0</v>
      </c>
      <c r="AU8" s="83">
        <v>0</v>
      </c>
      <c r="AV8" s="83">
        <v>0</v>
      </c>
      <c r="AW8" s="83">
        <v>0</v>
      </c>
      <c r="AX8" s="83">
        <f>2.8*1.7*1.7*0.52</f>
        <v>4.2078399999999991</v>
      </c>
      <c r="AY8" s="83">
        <f>3*2.8*2.8*0.52</f>
        <v>12.230399999999998</v>
      </c>
      <c r="AZ8" s="83">
        <f>3.3*1.9*1.9*0.52</f>
        <v>6.1947599999999996</v>
      </c>
      <c r="BA8" s="83">
        <f>4.3*3*3*0.52</f>
        <v>20.123999999999999</v>
      </c>
      <c r="BB8" s="83">
        <f>4.2*3.1*3.1*0.52</f>
        <v>20.988240000000001</v>
      </c>
      <c r="BC8" s="83">
        <f>4.4*3.1*3.1*0.52</f>
        <v>21.987680000000005</v>
      </c>
      <c r="BD8" s="83">
        <f>5.3*4.3*4.3*0.52</f>
        <v>50.958439999999996</v>
      </c>
      <c r="BE8" s="83">
        <f>5.9*4.6*4.6*0.52</f>
        <v>64.918880000000001</v>
      </c>
      <c r="BF8" s="83">
        <f>5.3*3.5*3.5*0.52</f>
        <v>33.761000000000003</v>
      </c>
      <c r="BG8" s="83">
        <f>5.4*5.2*5.2*0.52</f>
        <v>75.928320000000014</v>
      </c>
      <c r="BH8" s="83">
        <f>5.9*5.2*5.2*0.52</f>
        <v>82.958720000000014</v>
      </c>
      <c r="BI8" s="83">
        <f>6.2*5.5*5.5*0.52</f>
        <v>97.52600000000001</v>
      </c>
      <c r="BJ8" s="83">
        <f>6.5*6*6*0.52</f>
        <v>121.68</v>
      </c>
      <c r="BK8" s="83">
        <f>6.3*5.8*5.8*0.52</f>
        <v>110.20464</v>
      </c>
      <c r="BL8" s="83">
        <f>6.4*6.2*6.2*0.52</f>
        <v>127.92832000000003</v>
      </c>
      <c r="BM8" s="83">
        <f>7.3*6.6*6.6*0.52</f>
        <v>165.35375999999999</v>
      </c>
      <c r="BN8" s="83">
        <f>7.9*6.8*6.8*0.52</f>
        <v>189.95392000000001</v>
      </c>
      <c r="BO8" s="83">
        <f>8*7.6*7.6*0.52</f>
        <v>240.2816</v>
      </c>
      <c r="BP8" s="83">
        <f>9.8*8*8*0.52</f>
        <v>326.14400000000006</v>
      </c>
      <c r="BQ8" s="36"/>
      <c r="BR8" s="230">
        <f t="shared" si="6"/>
        <v>0.7476173175389087</v>
      </c>
      <c r="BS8" s="230">
        <f t="shared" si="6"/>
        <v>1</v>
      </c>
      <c r="BT8" s="230">
        <f t="shared" si="6"/>
        <v>1.0217863359075314</v>
      </c>
      <c r="BU8" s="230">
        <f t="shared" si="6"/>
        <v>0.990346756341146</v>
      </c>
      <c r="BV8" s="230">
        <f t="shared" si="6"/>
        <v>0.92772529868023046</v>
      </c>
      <c r="BW8" s="230">
        <f t="shared" si="6"/>
        <v>1.1205197965425757</v>
      </c>
      <c r="BX8" s="230">
        <f t="shared" si="6"/>
        <v>0.73575037599067195</v>
      </c>
      <c r="BY8" s="230">
        <f t="shared" si="6"/>
        <v>0.75398803589232311</v>
      </c>
      <c r="BZ8" s="230">
        <f t="shared" si="6"/>
        <v>0.80073339304121549</v>
      </c>
      <c r="CA8" s="230">
        <f t="shared" si="6"/>
        <v>0.59374419115534738</v>
      </c>
      <c r="CB8" s="230">
        <f t="shared" si="6"/>
        <v>0.37494296770704832</v>
      </c>
      <c r="CC8" s="230">
        <f t="shared" si="6"/>
        <v>0.17581154840563057</v>
      </c>
      <c r="CD8" s="230">
        <f t="shared" si="6"/>
        <v>5.3162546259526523E-2</v>
      </c>
      <c r="CE8" s="230">
        <f t="shared" si="6"/>
        <v>0.10566605268938947</v>
      </c>
      <c r="CF8" s="230">
        <f t="shared" si="6"/>
        <v>5.7454754380925024E-2</v>
      </c>
      <c r="CG8" s="230">
        <f t="shared" si="6"/>
        <v>0.12585970900856749</v>
      </c>
      <c r="CH8" s="230">
        <f t="shared" si="7"/>
        <v>0</v>
      </c>
      <c r="CI8" s="230">
        <f t="shared" si="7"/>
        <v>0</v>
      </c>
      <c r="CJ8" s="230">
        <f t="shared" si="7"/>
        <v>0</v>
      </c>
      <c r="CK8" s="230">
        <f t="shared" si="7"/>
        <v>0</v>
      </c>
      <c r="CL8" s="230">
        <f t="shared" si="7"/>
        <v>0</v>
      </c>
      <c r="CM8" s="230">
        <f t="shared" si="7"/>
        <v>0</v>
      </c>
      <c r="CN8" s="230">
        <f t="shared" si="7"/>
        <v>0</v>
      </c>
      <c r="CO8" s="230">
        <f t="shared" si="7"/>
        <v>0</v>
      </c>
      <c r="CP8" s="230">
        <f t="shared" si="7"/>
        <v>0</v>
      </c>
      <c r="CQ8" s="230">
        <f t="shared" si="7"/>
        <v>0</v>
      </c>
      <c r="CR8" s="230">
        <f t="shared" si="7"/>
        <v>0</v>
      </c>
      <c r="CS8" s="230">
        <f t="shared" si="7"/>
        <v>3.4185578856650377E-2</v>
      </c>
      <c r="CT8" s="230">
        <f t="shared" si="7"/>
        <v>9.936292816465854E-2</v>
      </c>
      <c r="CU8" s="230">
        <f t="shared" si="7"/>
        <v>5.0327830069114683E-2</v>
      </c>
      <c r="CV8" s="230">
        <f t="shared" si="7"/>
        <v>0.16349257312807339</v>
      </c>
      <c r="CW8" s="230">
        <f t="shared" si="7"/>
        <v>0.17051388208256588</v>
      </c>
      <c r="CX8" s="230">
        <f t="shared" si="8"/>
        <v>0.17863359075316426</v>
      </c>
      <c r="CY8" s="230">
        <f t="shared" si="8"/>
        <v>0.41399952684319918</v>
      </c>
      <c r="CZ8" s="230">
        <f t="shared" si="8"/>
        <v>0.52741774675972086</v>
      </c>
      <c r="DA8" s="230">
        <f t="shared" si="8"/>
        <v>0.27428308295452625</v>
      </c>
      <c r="DB8" s="230">
        <f t="shared" si="8"/>
        <v>0.61686128056508449</v>
      </c>
      <c r="DC8" s="230">
        <f t="shared" si="8"/>
        <v>0.67397806580259234</v>
      </c>
      <c r="DD8" s="230">
        <f t="shared" si="8"/>
        <v>0.79232641059871245</v>
      </c>
      <c r="DE8" s="230">
        <f t="shared" si="8"/>
        <v>0.98855974449532757</v>
      </c>
      <c r="DF8" s="230">
        <f t="shared" si="8"/>
        <v>0.8953309562836913</v>
      </c>
      <c r="DG8" s="230">
        <f t="shared" si="8"/>
        <v>1.039322709836592</v>
      </c>
      <c r="DH8" s="230">
        <f t="shared" si="8"/>
        <v>1.3433766497118813</v>
      </c>
      <c r="DI8" s="230">
        <f t="shared" si="8"/>
        <v>1.5432347026716462</v>
      </c>
      <c r="DJ8" s="230">
        <f t="shared" si="8"/>
        <v>1.9521097723777818</v>
      </c>
      <c r="DK8" s="230">
        <f t="shared" si="8"/>
        <v>2.6496780843908954</v>
      </c>
    </row>
    <row r="9" spans="1:115">
      <c r="A9" s="25">
        <v>1093342</v>
      </c>
      <c r="B9" s="1">
        <v>15</v>
      </c>
      <c r="C9" s="27"/>
      <c r="D9" s="25"/>
      <c r="E9" s="289" t="s">
        <v>63</v>
      </c>
      <c r="F9" s="29">
        <v>43003</v>
      </c>
      <c r="G9" s="210" t="s">
        <v>67</v>
      </c>
      <c r="H9" s="83"/>
      <c r="I9" s="29">
        <v>43012</v>
      </c>
      <c r="J9" s="35">
        <v>30.8</v>
      </c>
      <c r="K9" s="35">
        <v>6.7</v>
      </c>
      <c r="L9" s="35">
        <v>6.1</v>
      </c>
      <c r="M9" s="35">
        <f t="shared" si="9"/>
        <v>129.63963999999999</v>
      </c>
      <c r="N9" s="30">
        <f t="shared" si="4"/>
        <v>1296.3963999999999</v>
      </c>
      <c r="O9" s="30">
        <f t="shared" si="10"/>
        <v>70.99651697699889</v>
      </c>
      <c r="P9" s="35">
        <v>1303</v>
      </c>
      <c r="Q9" s="140">
        <f t="shared" si="11"/>
        <v>10.05093812355542</v>
      </c>
      <c r="R9" s="142">
        <f t="shared" si="5"/>
        <v>1.005093812355542</v>
      </c>
      <c r="S9" s="238">
        <v>125</v>
      </c>
      <c r="T9" s="239"/>
      <c r="U9" s="31"/>
      <c r="V9" s="121"/>
      <c r="W9" s="78">
        <f>5.6*5.3*5.3*0.52</f>
        <v>81.798079999999985</v>
      </c>
      <c r="X9" s="83">
        <v>129.63963999999999</v>
      </c>
      <c r="Y9" s="83">
        <f>6.6*6.3*6.3*0.52</f>
        <v>136.21608000000001</v>
      </c>
      <c r="Z9" s="83">
        <f>7.3*6.2*6.2*0.52</f>
        <v>145.91824000000003</v>
      </c>
      <c r="AA9" s="83">
        <f>6.7*6.6*6.6*0.52</f>
        <v>151.76303999999999</v>
      </c>
      <c r="AB9" s="83">
        <f>8*6.6*6.6*0.52</f>
        <v>181.20959999999999</v>
      </c>
      <c r="AC9" s="83">
        <f>7.3*6.2*6.2*0.52</f>
        <v>145.91824000000003</v>
      </c>
      <c r="AD9" s="83">
        <f>7.4*5.9*5.9*0.52</f>
        <v>133.94888000000003</v>
      </c>
      <c r="AE9" s="83">
        <f>7.2*6.3*6.3*0.52</f>
        <v>148.59935999999999</v>
      </c>
      <c r="AF9" s="83">
        <f>6.4*6*6*0.52</f>
        <v>119.80800000000002</v>
      </c>
      <c r="AG9" s="83">
        <f>6.7*5.4*5.4*0.52</f>
        <v>101.59344000000003</v>
      </c>
      <c r="AH9" s="83">
        <f>6*5.6*5.6*0.52</f>
        <v>97.843199999999982</v>
      </c>
      <c r="AI9" s="83">
        <f>6.7*5.5*5.5*0.52</f>
        <v>105.39100000000001</v>
      </c>
      <c r="AJ9" s="83">
        <f>5.6*5.5*5.5*0.52</f>
        <v>88.087999999999994</v>
      </c>
      <c r="AK9" s="83">
        <f>5.8*5.6*5.6*0.52</f>
        <v>94.581759999999989</v>
      </c>
      <c r="AL9" s="83">
        <f>6.4*6.3*6.3*0.52</f>
        <v>132.08832000000001</v>
      </c>
      <c r="AM9" s="83">
        <f>7.6*6.4*6.4*0.52</f>
        <v>161.87392000000003</v>
      </c>
      <c r="AN9" s="83">
        <f>7*5.6*5.6*0.52</f>
        <v>114.15039999999998</v>
      </c>
      <c r="AO9" s="83">
        <f>9.1*7.3*7.3*0.52</f>
        <v>252.16827999999995</v>
      </c>
      <c r="AP9" s="83">
        <f>8.4*7.6*7.6*0.52</f>
        <v>252.29568</v>
      </c>
      <c r="AQ9" s="83">
        <f>8.2*7.4*7.4*0.52</f>
        <v>233.49664000000004</v>
      </c>
      <c r="AR9" s="83">
        <f>9.1*8.8*8.8*0.52</f>
        <v>366.44608000000005</v>
      </c>
      <c r="AS9" s="83">
        <f>9.8*8.5*8.5*0.52</f>
        <v>368.18600000000004</v>
      </c>
      <c r="AT9" s="83">
        <f>9.8*9*9*0.52</f>
        <v>412.77600000000007</v>
      </c>
      <c r="AU9" s="83">
        <f>9.5*8.4*8.4*0.52</f>
        <v>348.56640000000004</v>
      </c>
      <c r="AV9" s="83">
        <f>10.6*9.7*9.7*0.52</f>
        <v>518.62407999999994</v>
      </c>
      <c r="AW9" s="83">
        <f>11.1*9.9*9.9*0.52</f>
        <v>565.71372000000008</v>
      </c>
      <c r="AX9" s="83">
        <f>12.1*10.3*10.3*0.52</f>
        <v>667.51828000000012</v>
      </c>
      <c r="AY9" s="83">
        <f>12.6*12.5*12.5*0.52</f>
        <v>1023.75</v>
      </c>
      <c r="AZ9" s="83">
        <f>12.9*11.2*11.2*0.52</f>
        <v>841.45151999999985</v>
      </c>
      <c r="BA9" s="83">
        <f>13.8*11.9*11.9*0.52</f>
        <v>1016.1933600000002</v>
      </c>
      <c r="BB9" s="83">
        <f>14.3*13.3*13.3*0.52</f>
        <v>1315.3540400000004</v>
      </c>
      <c r="BC9" s="83">
        <f>15.3*14.3*14.3*0.52</f>
        <v>1626.9224400000003</v>
      </c>
      <c r="BD9" s="83">
        <f>14.8*14.6*14.6*0.52</f>
        <v>1640.47936</v>
      </c>
      <c r="BE9" s="83">
        <f>16*15*15*0.52</f>
        <v>1872</v>
      </c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36"/>
      <c r="BR9" s="230">
        <f t="shared" si="6"/>
        <v>0.630965035077234</v>
      </c>
      <c r="BS9" s="230">
        <f t="shared" si="6"/>
        <v>1</v>
      </c>
      <c r="BT9" s="230">
        <f t="shared" si="6"/>
        <v>1.0507286197339025</v>
      </c>
      <c r="BU9" s="230">
        <f t="shared" si="6"/>
        <v>1.1255680747030772</v>
      </c>
      <c r="BV9" s="230">
        <f t="shared" si="6"/>
        <v>1.1706530502553079</v>
      </c>
      <c r="BW9" s="230">
        <f t="shared" si="6"/>
        <v>1.3977946868720093</v>
      </c>
      <c r="BX9" s="230">
        <f t="shared" si="6"/>
        <v>1.1255680747030772</v>
      </c>
      <c r="BY9" s="230">
        <f t="shared" si="6"/>
        <v>1.033240141672717</v>
      </c>
      <c r="BZ9" s="230">
        <f t="shared" si="6"/>
        <v>1.1462494033460753</v>
      </c>
      <c r="CA9" s="230">
        <f t="shared" si="6"/>
        <v>0.92416177644430386</v>
      </c>
      <c r="CB9" s="230">
        <f t="shared" si="6"/>
        <v>0.78366030636925588</v>
      </c>
      <c r="CC9" s="230">
        <f t="shared" si="6"/>
        <v>0.75473211742951452</v>
      </c>
      <c r="CD9" s="230">
        <f t="shared" si="6"/>
        <v>0.81295350712174164</v>
      </c>
      <c r="CE9" s="230">
        <f t="shared" si="6"/>
        <v>0.67948352834056003</v>
      </c>
      <c r="CF9" s="230">
        <f t="shared" si="6"/>
        <v>0.72957438018186416</v>
      </c>
      <c r="CG9" s="230">
        <f t="shared" si="6"/>
        <v>1.0188883585298449</v>
      </c>
      <c r="CH9" s="230">
        <f t="shared" si="7"/>
        <v>1.2486452446180816</v>
      </c>
      <c r="CI9" s="230">
        <f t="shared" si="7"/>
        <v>0.88052080366776697</v>
      </c>
      <c r="CJ9" s="230">
        <f t="shared" si="7"/>
        <v>1.9451479501177262</v>
      </c>
      <c r="CK9" s="230">
        <f t="shared" si="7"/>
        <v>1.946130674228963</v>
      </c>
      <c r="CL9" s="230">
        <f t="shared" si="7"/>
        <v>1.8011207065986921</v>
      </c>
      <c r="CM9" s="230">
        <f t="shared" si="7"/>
        <v>2.8266514778967307</v>
      </c>
      <c r="CN9" s="230">
        <f t="shared" si="7"/>
        <v>2.8400726814730439</v>
      </c>
      <c r="CO9" s="230">
        <f t="shared" si="7"/>
        <v>3.1840261204057656</v>
      </c>
      <c r="CP9" s="230">
        <f t="shared" si="7"/>
        <v>2.6887331683426465</v>
      </c>
      <c r="CQ9" s="230">
        <f t="shared" si="7"/>
        <v>4.0005054009714929</v>
      </c>
      <c r="CR9" s="230">
        <f t="shared" si="7"/>
        <v>4.3637402880785547</v>
      </c>
      <c r="CS9" s="230">
        <f t="shared" si="7"/>
        <v>5.1490291086892883</v>
      </c>
      <c r="CT9" s="230">
        <f t="shared" si="7"/>
        <v>7.8968901795777908</v>
      </c>
      <c r="CU9" s="230">
        <f t="shared" si="7"/>
        <v>6.4906962098938248</v>
      </c>
      <c r="CV9" s="230">
        <f t="shared" si="7"/>
        <v>7.8386006008656022</v>
      </c>
      <c r="CW9" s="230">
        <f t="shared" si="7"/>
        <v>10.146233358870793</v>
      </c>
      <c r="CX9" s="230">
        <f t="shared" si="8"/>
        <v>12.549575423072762</v>
      </c>
      <c r="CY9" s="230">
        <f t="shared" si="8"/>
        <v>12.654149301864772</v>
      </c>
      <c r="CZ9" s="230">
        <f t="shared" si="8"/>
        <v>14.440027756942245</v>
      </c>
      <c r="DA9" s="230" t="str">
        <f t="shared" si="8"/>
        <v/>
      </c>
      <c r="DB9" s="230" t="str">
        <f t="shared" si="8"/>
        <v/>
      </c>
      <c r="DC9" s="230" t="str">
        <f t="shared" si="8"/>
        <v/>
      </c>
      <c r="DD9" s="230" t="str">
        <f t="shared" si="8"/>
        <v/>
      </c>
      <c r="DE9" s="230" t="str">
        <f t="shared" si="8"/>
        <v/>
      </c>
      <c r="DF9" s="230" t="str">
        <f t="shared" si="8"/>
        <v/>
      </c>
      <c r="DG9" s="230" t="str">
        <f t="shared" si="8"/>
        <v/>
      </c>
      <c r="DH9" s="230" t="str">
        <f t="shared" si="8"/>
        <v/>
      </c>
      <c r="DI9" s="230" t="str">
        <f t="shared" si="8"/>
        <v/>
      </c>
      <c r="DJ9" s="230" t="str">
        <f t="shared" si="8"/>
        <v/>
      </c>
      <c r="DK9" s="230" t="str">
        <f t="shared" si="8"/>
        <v/>
      </c>
    </row>
    <row r="10" spans="1:115">
      <c r="A10" s="37">
        <v>1093343</v>
      </c>
      <c r="B10" s="1">
        <v>21</v>
      </c>
      <c r="C10" s="27"/>
      <c r="D10" s="25"/>
      <c r="E10" s="289" t="s">
        <v>62</v>
      </c>
      <c r="F10" s="29">
        <v>43003</v>
      </c>
      <c r="G10" s="210" t="s">
        <v>67</v>
      </c>
      <c r="H10" s="83"/>
      <c r="I10" s="29">
        <v>43012</v>
      </c>
      <c r="J10" s="35">
        <v>26.7</v>
      </c>
      <c r="K10" s="35">
        <v>5.2</v>
      </c>
      <c r="L10" s="35">
        <v>5.2</v>
      </c>
      <c r="M10" s="35">
        <f t="shared" si="9"/>
        <v>73.116160000000022</v>
      </c>
      <c r="N10" s="30"/>
      <c r="O10" s="30"/>
      <c r="P10" s="35">
        <v>0</v>
      </c>
      <c r="Q10" s="140">
        <f t="shared" si="11"/>
        <v>0</v>
      </c>
      <c r="R10" s="142" t="e">
        <f t="shared" si="5"/>
        <v>#DIV/0!</v>
      </c>
      <c r="S10" s="238"/>
      <c r="T10" s="239"/>
      <c r="U10" s="31"/>
      <c r="V10" s="121"/>
      <c r="W10" s="78">
        <f>6.2*5.9*5.9*0.52</f>
        <v>112.22744000000002</v>
      </c>
      <c r="X10" s="83">
        <v>73.116160000000022</v>
      </c>
      <c r="Y10" s="83">
        <f>4.6*4.1*4.1*0.52</f>
        <v>40.209519999999991</v>
      </c>
      <c r="Z10" s="83">
        <f>5.4*5.1*5.1*0.52</f>
        <v>73.036079999999998</v>
      </c>
      <c r="AA10" s="83">
        <f>6.1*5.9*5.9*0.52</f>
        <v>110.41732000000002</v>
      </c>
      <c r="AB10" s="83">
        <f>6.3*6*6*0.52</f>
        <v>117.93599999999999</v>
      </c>
      <c r="AC10" s="83">
        <f>7.2*5.6*5.6*0.52</f>
        <v>117.41183999999998</v>
      </c>
      <c r="AD10" s="83">
        <f>7.8*6.5*6.5*0.52</f>
        <v>171.36599999999999</v>
      </c>
      <c r="AE10" s="83">
        <f>8.4*6.7*6.7*0.52</f>
        <v>196.07952000000003</v>
      </c>
      <c r="AF10" s="83">
        <f>8.4*7.5*7.5*0.52</f>
        <v>245.70000000000002</v>
      </c>
      <c r="AG10" s="83">
        <f>10.4*7.6*7.6*0.52</f>
        <v>312.36608000000001</v>
      </c>
      <c r="AH10" s="83">
        <f>11*8.6*8.6*0.52</f>
        <v>423.05119999999999</v>
      </c>
      <c r="AI10" s="83">
        <f>10.2*9.1*9.1*0.52</f>
        <v>439.22423999999995</v>
      </c>
      <c r="AJ10" s="83">
        <f>12.2*8.7*8.7*0.52</f>
        <v>480.17735999999991</v>
      </c>
      <c r="AK10" s="83">
        <f>12*9.8*9.8*0.52</f>
        <v>599.28960000000018</v>
      </c>
      <c r="AL10" s="83">
        <f>12.9*10.3*10.3*0.52</f>
        <v>711.65172000000007</v>
      </c>
      <c r="AM10" s="83">
        <f>13.5*11.3*11.3*0.52</f>
        <v>896.38380000000018</v>
      </c>
      <c r="AN10" s="83">
        <f>14.6*12.2*12.2*0.52</f>
        <v>1129.9932799999997</v>
      </c>
      <c r="AO10" s="83">
        <f>15.5*12.6*12.6*0.52</f>
        <v>1279.6055999999999</v>
      </c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36"/>
      <c r="BR10" s="230">
        <f t="shared" si="6"/>
        <v>1.5349197769685934</v>
      </c>
      <c r="BS10" s="230">
        <f t="shared" si="6"/>
        <v>1</v>
      </c>
      <c r="BT10" s="230">
        <f t="shared" si="6"/>
        <v>0.54994025944469704</v>
      </c>
      <c r="BU10" s="230">
        <f t="shared" si="6"/>
        <v>0.9989047564861171</v>
      </c>
      <c r="BV10" s="230">
        <f t="shared" si="6"/>
        <v>1.5101630063723257</v>
      </c>
      <c r="BW10" s="230">
        <f t="shared" si="6"/>
        <v>1.6129949931725074</v>
      </c>
      <c r="BX10" s="230">
        <f t="shared" si="6"/>
        <v>1.6058261265361851</v>
      </c>
      <c r="BY10" s="230">
        <f t="shared" si="6"/>
        <v>2.3437499999999991</v>
      </c>
      <c r="BZ10" s="230">
        <f t="shared" si="6"/>
        <v>2.681753527537551</v>
      </c>
      <c r="CA10" s="230">
        <f t="shared" si="6"/>
        <v>3.3604062357760576</v>
      </c>
      <c r="CB10" s="230">
        <f t="shared" si="6"/>
        <v>4.2721893491124252</v>
      </c>
      <c r="CC10" s="230">
        <f t="shared" si="6"/>
        <v>5.7860150204824743</v>
      </c>
      <c r="CD10" s="230">
        <f t="shared" si="6"/>
        <v>6.0072115384615357</v>
      </c>
      <c r="CE10" s="230">
        <f t="shared" si="6"/>
        <v>6.5673219162494281</v>
      </c>
      <c r="CF10" s="230">
        <f t="shared" si="6"/>
        <v>8.1964041875284472</v>
      </c>
      <c r="CG10" s="230">
        <f t="shared" si="6"/>
        <v>9.7331659649522049</v>
      </c>
      <c r="CH10" s="230">
        <f t="shared" si="7"/>
        <v>12.259722064178424</v>
      </c>
      <c r="CI10" s="230">
        <f t="shared" si="7"/>
        <v>15.454767865270815</v>
      </c>
      <c r="CJ10" s="230">
        <f t="shared" si="7"/>
        <v>17.500995675921704</v>
      </c>
      <c r="CK10" s="230" t="str">
        <f t="shared" si="7"/>
        <v/>
      </c>
      <c r="CL10" s="230" t="str">
        <f t="shared" si="7"/>
        <v/>
      </c>
      <c r="CM10" s="230" t="str">
        <f t="shared" si="7"/>
        <v/>
      </c>
      <c r="CN10" s="230" t="str">
        <f t="shared" si="7"/>
        <v/>
      </c>
      <c r="CO10" s="230" t="str">
        <f t="shared" si="7"/>
        <v/>
      </c>
      <c r="CP10" s="230" t="str">
        <f t="shared" si="7"/>
        <v/>
      </c>
      <c r="CQ10" s="230" t="str">
        <f t="shared" si="7"/>
        <v/>
      </c>
      <c r="CR10" s="230" t="str">
        <f t="shared" si="7"/>
        <v/>
      </c>
      <c r="CS10" s="230" t="str">
        <f t="shared" si="7"/>
        <v/>
      </c>
      <c r="CT10" s="230" t="str">
        <f t="shared" si="7"/>
        <v/>
      </c>
      <c r="CU10" s="230" t="str">
        <f t="shared" si="7"/>
        <v/>
      </c>
      <c r="CV10" s="230" t="str">
        <f t="shared" si="7"/>
        <v/>
      </c>
      <c r="CW10" s="230" t="str">
        <f t="shared" si="7"/>
        <v/>
      </c>
      <c r="CX10" s="230" t="str">
        <f t="shared" si="8"/>
        <v/>
      </c>
      <c r="CY10" s="230" t="str">
        <f t="shared" si="8"/>
        <v/>
      </c>
      <c r="CZ10" s="230" t="str">
        <f t="shared" si="8"/>
        <v/>
      </c>
      <c r="DA10" s="230" t="str">
        <f t="shared" si="8"/>
        <v/>
      </c>
      <c r="DB10" s="230" t="str">
        <f t="shared" si="8"/>
        <v/>
      </c>
      <c r="DC10" s="230" t="str">
        <f t="shared" si="8"/>
        <v/>
      </c>
      <c r="DD10" s="230" t="str">
        <f t="shared" si="8"/>
        <v/>
      </c>
      <c r="DE10" s="230" t="str">
        <f t="shared" si="8"/>
        <v/>
      </c>
      <c r="DF10" s="230" t="str">
        <f t="shared" si="8"/>
        <v/>
      </c>
      <c r="DG10" s="230" t="str">
        <f t="shared" si="8"/>
        <v/>
      </c>
      <c r="DH10" s="230" t="str">
        <f t="shared" si="8"/>
        <v/>
      </c>
      <c r="DI10" s="230" t="str">
        <f t="shared" si="8"/>
        <v/>
      </c>
      <c r="DJ10" s="230" t="str">
        <f t="shared" si="8"/>
        <v/>
      </c>
      <c r="DK10" s="230" t="str">
        <f t="shared" si="8"/>
        <v/>
      </c>
    </row>
    <row r="11" spans="1:115">
      <c r="A11" s="37">
        <v>1093343</v>
      </c>
      <c r="B11" s="1">
        <v>22</v>
      </c>
      <c r="C11" s="27"/>
      <c r="D11" s="25"/>
      <c r="E11" s="289" t="s">
        <v>63</v>
      </c>
      <c r="F11" s="29">
        <v>43003</v>
      </c>
      <c r="G11" s="210" t="s">
        <v>67</v>
      </c>
      <c r="H11" s="83"/>
      <c r="I11" s="29">
        <v>43012</v>
      </c>
      <c r="J11" s="35">
        <v>32.1</v>
      </c>
      <c r="K11" s="35">
        <v>6.3</v>
      </c>
      <c r="L11" s="35">
        <v>5.3</v>
      </c>
      <c r="M11" s="35">
        <f t="shared" si="9"/>
        <v>92.022840000000002</v>
      </c>
      <c r="N11" s="30">
        <f t="shared" si="4"/>
        <v>920.22839999999997</v>
      </c>
      <c r="O11" s="30">
        <f t="shared" si="10"/>
        <v>50.395859802847745</v>
      </c>
      <c r="P11" s="35">
        <v>1078</v>
      </c>
      <c r="Q11" s="140">
        <f t="shared" si="11"/>
        <v>11.714483056597688</v>
      </c>
      <c r="R11" s="142">
        <f t="shared" si="5"/>
        <v>1.1714483056597689</v>
      </c>
      <c r="S11" s="238">
        <v>125</v>
      </c>
      <c r="T11" s="239"/>
      <c r="U11" s="31"/>
      <c r="V11" s="121"/>
      <c r="W11" s="78">
        <f>6.8*6.2*6.2*0.52</f>
        <v>135.92384000000001</v>
      </c>
      <c r="X11" s="83">
        <v>92.022840000000002</v>
      </c>
      <c r="Y11" s="83">
        <f>6.5*6.4*6.4*0.52</f>
        <v>138.44480000000001</v>
      </c>
      <c r="Z11" s="83">
        <f>7.2*6.6*6.6*0.52</f>
        <v>163.08863999999997</v>
      </c>
      <c r="AA11" s="83">
        <f>6.5*6.3*6.3*0.52</f>
        <v>134.15219999999999</v>
      </c>
      <c r="AB11" s="83">
        <f>7*6.2*6.2*0.52</f>
        <v>139.92159999999998</v>
      </c>
      <c r="AC11" s="83">
        <f>6.3*6*6*0.52</f>
        <v>117.93599999999999</v>
      </c>
      <c r="AD11" s="83">
        <f>6.6*5.9*5.9*0.52</f>
        <v>119.46792000000001</v>
      </c>
      <c r="AE11" s="83">
        <f>6.5*5.2*5.2*0.52</f>
        <v>91.395200000000017</v>
      </c>
      <c r="AF11" s="83">
        <f>5.7*4.6*4.6*0.52</f>
        <v>62.718239999999994</v>
      </c>
      <c r="AG11" s="83">
        <f>5.5*4.6*4.6*0.52</f>
        <v>60.517599999999995</v>
      </c>
      <c r="AH11" s="83">
        <f>4.1*3.4*3.4*0.52</f>
        <v>24.645919999999997</v>
      </c>
      <c r="AI11" s="83">
        <f>5.4*5.3*5.3*0.52</f>
        <v>78.876720000000006</v>
      </c>
      <c r="AJ11" s="83">
        <f>7.1*6.4*6.4*0.52</f>
        <v>151.22432000000001</v>
      </c>
      <c r="AK11" s="83">
        <f>7.2*6.9*6.9*0.52</f>
        <v>178.25184000000004</v>
      </c>
      <c r="AL11" s="83">
        <f>7.5*6.6*6.6*0.52</f>
        <v>169.88399999999999</v>
      </c>
      <c r="AM11" s="83">
        <f>8.3*7.6*7.6*0.52</f>
        <v>249.29216000000002</v>
      </c>
      <c r="AN11" s="83">
        <f>8.9*7.4*7.4*0.52</f>
        <v>253.42928000000003</v>
      </c>
      <c r="AO11" s="83">
        <f>9*8.6*8.6*0.52</f>
        <v>346.13279999999992</v>
      </c>
      <c r="AP11" s="83">
        <f>8.5*8.4*8.4*0.52</f>
        <v>311.87520000000006</v>
      </c>
      <c r="AQ11" s="83">
        <f>10.3*9.8*9.8*0.52</f>
        <v>514.39024000000018</v>
      </c>
      <c r="AR11" s="83">
        <f>10.4*10.2*10.2*0.52</f>
        <v>562.6483199999999</v>
      </c>
      <c r="AS11" s="83">
        <f>10.8*8.8*8.8*0.52</f>
        <v>434.90304000000015</v>
      </c>
      <c r="AT11" s="83">
        <f>10*9.2*9.2*0.52</f>
        <v>440.12799999999999</v>
      </c>
      <c r="AU11" s="83">
        <f>12.5*10*10*0.52</f>
        <v>650</v>
      </c>
      <c r="AV11" s="83">
        <f>13.1*11.8*11.8*0.52</f>
        <v>948.50288000000023</v>
      </c>
      <c r="AW11" s="83">
        <f>14.1*14*14*0.52</f>
        <v>1437.0719999999999</v>
      </c>
      <c r="AX11" s="83">
        <f>14.6*13*13*0.52</f>
        <v>1283.0479999999998</v>
      </c>
      <c r="AY11" s="83">
        <f>15.9*13.5*13.5*0.52</f>
        <v>1506.8430000000001</v>
      </c>
      <c r="AZ11" s="83">
        <f>16.1*14.6*14.6*0.52</f>
        <v>1784.5755199999999</v>
      </c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36"/>
      <c r="BR11" s="230">
        <f t="shared" si="6"/>
        <v>1.4770663457028712</v>
      </c>
      <c r="BS11" s="230">
        <f t="shared" si="6"/>
        <v>1</v>
      </c>
      <c r="BT11" s="230">
        <f t="shared" si="6"/>
        <v>1.5044612837421667</v>
      </c>
      <c r="BU11" s="230">
        <f t="shared" si="6"/>
        <v>1.7722626252352129</v>
      </c>
      <c r="BV11" s="230">
        <f t="shared" si="6"/>
        <v>1.4578141687433248</v>
      </c>
      <c r="BW11" s="230">
        <f t="shared" si="6"/>
        <v>1.5205094735176612</v>
      </c>
      <c r="BX11" s="230">
        <f t="shared" si="6"/>
        <v>1.2815948736205054</v>
      </c>
      <c r="BY11" s="230">
        <f t="shared" si="6"/>
        <v>1.2982420451270575</v>
      </c>
      <c r="BZ11" s="230">
        <f t="shared" si="6"/>
        <v>0.99317951934541482</v>
      </c>
      <c r="CA11" s="230">
        <f t="shared" si="6"/>
        <v>0.6815507976063333</v>
      </c>
      <c r="CB11" s="230">
        <f t="shared" si="6"/>
        <v>0.65763673453242688</v>
      </c>
      <c r="CC11" s="230">
        <f t="shared" si="6"/>
        <v>0.26782394457723752</v>
      </c>
      <c r="CD11" s="230">
        <f t="shared" si="6"/>
        <v>0.85714285714285721</v>
      </c>
      <c r="CE11" s="230">
        <f t="shared" si="6"/>
        <v>1.6433346330106744</v>
      </c>
      <c r="CF11" s="230">
        <f t="shared" si="6"/>
        <v>1.9370391089864216</v>
      </c>
      <c r="CG11" s="230">
        <f t="shared" si="6"/>
        <v>1.8461069012866804</v>
      </c>
      <c r="CH11" s="230">
        <f t="shared" si="7"/>
        <v>2.7090248464402968</v>
      </c>
      <c r="CI11" s="230">
        <f t="shared" si="7"/>
        <v>2.7539823808958737</v>
      </c>
      <c r="CJ11" s="230">
        <f t="shared" si="7"/>
        <v>3.7613792401973241</v>
      </c>
      <c r="CK11" s="230">
        <f t="shared" si="7"/>
        <v>3.3891064435742262</v>
      </c>
      <c r="CL11" s="230">
        <f t="shared" si="7"/>
        <v>5.5898105296467717</v>
      </c>
      <c r="CM11" s="230">
        <f t="shared" si="7"/>
        <v>6.1142246859583977</v>
      </c>
      <c r="CN11" s="230">
        <f t="shared" si="7"/>
        <v>4.7260336672939038</v>
      </c>
      <c r="CO11" s="230">
        <f t="shared" si="7"/>
        <v>4.7828126147812871</v>
      </c>
      <c r="CP11" s="230">
        <f t="shared" si="7"/>
        <v>7.0634638096368247</v>
      </c>
      <c r="CQ11" s="230">
        <f t="shared" si="7"/>
        <v>10.307255024948157</v>
      </c>
      <c r="CR11" s="230">
        <f t="shared" si="7"/>
        <v>15.616470867449863</v>
      </c>
      <c r="CS11" s="230">
        <f t="shared" si="7"/>
        <v>13.942712483118319</v>
      </c>
      <c r="CT11" s="230">
        <f t="shared" si="7"/>
        <v>16.374663072776279</v>
      </c>
      <c r="CU11" s="230">
        <f t="shared" si="7"/>
        <v>19.392745540128949</v>
      </c>
      <c r="CV11" s="230" t="str">
        <f t="shared" si="7"/>
        <v/>
      </c>
      <c r="CW11" s="230" t="str">
        <f t="shared" si="7"/>
        <v/>
      </c>
      <c r="CX11" s="230" t="str">
        <f t="shared" si="8"/>
        <v/>
      </c>
      <c r="CY11" s="230" t="str">
        <f t="shared" si="8"/>
        <v/>
      </c>
      <c r="CZ11" s="230" t="str">
        <f t="shared" si="8"/>
        <v/>
      </c>
      <c r="DA11" s="230" t="str">
        <f t="shared" si="8"/>
        <v/>
      </c>
      <c r="DB11" s="230" t="str">
        <f t="shared" si="8"/>
        <v/>
      </c>
      <c r="DC11" s="230" t="str">
        <f t="shared" si="8"/>
        <v/>
      </c>
      <c r="DD11" s="230" t="str">
        <f t="shared" si="8"/>
        <v/>
      </c>
      <c r="DE11" s="230" t="str">
        <f t="shared" si="8"/>
        <v/>
      </c>
      <c r="DF11" s="230" t="str">
        <f t="shared" si="8"/>
        <v/>
      </c>
      <c r="DG11" s="230" t="str">
        <f t="shared" si="8"/>
        <v/>
      </c>
      <c r="DH11" s="230" t="str">
        <f t="shared" si="8"/>
        <v/>
      </c>
      <c r="DI11" s="230" t="str">
        <f t="shared" si="8"/>
        <v/>
      </c>
      <c r="DJ11" s="230" t="str">
        <f t="shared" si="8"/>
        <v/>
      </c>
      <c r="DK11" s="230" t="str">
        <f t="shared" si="8"/>
        <v/>
      </c>
    </row>
    <row r="12" spans="1:115">
      <c r="A12" s="37">
        <v>1093343</v>
      </c>
      <c r="B12" s="1">
        <v>23</v>
      </c>
      <c r="C12" s="27"/>
      <c r="D12" s="25"/>
      <c r="E12" s="289" t="s">
        <v>79</v>
      </c>
      <c r="F12" s="29">
        <v>43003</v>
      </c>
      <c r="G12" s="210" t="s">
        <v>67</v>
      </c>
      <c r="H12" s="83"/>
      <c r="I12" s="29">
        <v>43012</v>
      </c>
      <c r="J12" s="35">
        <v>28.4</v>
      </c>
      <c r="K12" s="35">
        <v>6.4</v>
      </c>
      <c r="L12" s="35">
        <v>5.0999999999999996</v>
      </c>
      <c r="M12" s="35">
        <f t="shared" si="9"/>
        <v>86.561279999999996</v>
      </c>
      <c r="N12" s="30">
        <f t="shared" si="4"/>
        <v>865.61279999999999</v>
      </c>
      <c r="O12" s="30">
        <f t="shared" si="10"/>
        <v>47.404863088718507</v>
      </c>
      <c r="P12" s="35">
        <v>997</v>
      </c>
      <c r="Q12" s="140">
        <f t="shared" si="11"/>
        <v>11.517851861709994</v>
      </c>
      <c r="R12" s="142">
        <f t="shared" si="5"/>
        <v>1.1517851861709993</v>
      </c>
      <c r="S12" s="238">
        <v>125</v>
      </c>
      <c r="T12" s="239"/>
      <c r="U12" s="31"/>
      <c r="V12" s="121"/>
      <c r="W12" s="78">
        <f>6.4*5.3*5.3*0.52</f>
        <v>93.483520000000013</v>
      </c>
      <c r="X12" s="83">
        <v>86.561279999999996</v>
      </c>
      <c r="Y12" s="83">
        <f>6.4*5.4*5.4*0.52</f>
        <v>97.044480000000021</v>
      </c>
      <c r="Z12" s="83">
        <f>7*5.6*5.6*0.52</f>
        <v>114.15039999999998</v>
      </c>
      <c r="AA12" s="83">
        <f>5.8*5.4*5.4*0.52</f>
        <v>87.946560000000005</v>
      </c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36"/>
      <c r="BR12" s="230">
        <f t="shared" si="6"/>
        <v>1.0799692425990006</v>
      </c>
      <c r="BS12" s="230">
        <f t="shared" si="6"/>
        <v>1</v>
      </c>
      <c r="BT12" s="230">
        <f t="shared" si="6"/>
        <v>1.1211072664359865</v>
      </c>
      <c r="BU12" s="230">
        <f t="shared" si="6"/>
        <v>1.3187235678585156</v>
      </c>
      <c r="BV12" s="230">
        <f t="shared" si="6"/>
        <v>1.0160034602076125</v>
      </c>
      <c r="BW12" s="230" t="str">
        <f t="shared" si="6"/>
        <v/>
      </c>
      <c r="BX12" s="230" t="str">
        <f t="shared" si="6"/>
        <v/>
      </c>
      <c r="BY12" s="230" t="str">
        <f t="shared" si="6"/>
        <v/>
      </c>
      <c r="BZ12" s="230" t="str">
        <f t="shared" si="6"/>
        <v/>
      </c>
      <c r="CA12" s="230" t="str">
        <f t="shared" si="6"/>
        <v/>
      </c>
      <c r="CB12" s="230" t="str">
        <f t="shared" si="6"/>
        <v/>
      </c>
      <c r="CC12" s="230" t="str">
        <f t="shared" si="6"/>
        <v/>
      </c>
      <c r="CD12" s="230" t="str">
        <f t="shared" si="6"/>
        <v/>
      </c>
      <c r="CE12" s="230" t="str">
        <f t="shared" si="6"/>
        <v/>
      </c>
      <c r="CF12" s="230" t="str">
        <f t="shared" si="6"/>
        <v/>
      </c>
      <c r="CG12" s="230" t="str">
        <f t="shared" si="6"/>
        <v/>
      </c>
      <c r="CH12" s="230" t="str">
        <f t="shared" si="7"/>
        <v/>
      </c>
      <c r="CI12" s="230" t="str">
        <f t="shared" si="7"/>
        <v/>
      </c>
      <c r="CJ12" s="230" t="str">
        <f t="shared" si="7"/>
        <v/>
      </c>
      <c r="CK12" s="230" t="str">
        <f t="shared" si="7"/>
        <v/>
      </c>
      <c r="CL12" s="230" t="str">
        <f t="shared" si="7"/>
        <v/>
      </c>
      <c r="CM12" s="230" t="str">
        <f t="shared" si="7"/>
        <v/>
      </c>
      <c r="CN12" s="230" t="str">
        <f t="shared" si="7"/>
        <v/>
      </c>
      <c r="CO12" s="230" t="str">
        <f t="shared" si="7"/>
        <v/>
      </c>
      <c r="CP12" s="230" t="str">
        <f t="shared" si="7"/>
        <v/>
      </c>
      <c r="CQ12" s="230" t="str">
        <f t="shared" si="7"/>
        <v/>
      </c>
      <c r="CR12" s="230" t="str">
        <f t="shared" si="7"/>
        <v/>
      </c>
      <c r="CS12" s="230" t="str">
        <f t="shared" si="7"/>
        <v/>
      </c>
      <c r="CT12" s="230" t="str">
        <f t="shared" si="7"/>
        <v/>
      </c>
      <c r="CU12" s="230" t="str">
        <f t="shared" si="7"/>
        <v/>
      </c>
      <c r="CV12" s="230" t="str">
        <f t="shared" si="7"/>
        <v/>
      </c>
      <c r="CW12" s="230" t="str">
        <f t="shared" si="7"/>
        <v/>
      </c>
      <c r="CX12" s="230" t="str">
        <f t="shared" si="8"/>
        <v/>
      </c>
      <c r="CY12" s="230" t="str">
        <f t="shared" si="8"/>
        <v/>
      </c>
      <c r="CZ12" s="230" t="str">
        <f t="shared" si="8"/>
        <v/>
      </c>
      <c r="DA12" s="230" t="str">
        <f t="shared" si="8"/>
        <v/>
      </c>
      <c r="DB12" s="230" t="str">
        <f t="shared" si="8"/>
        <v/>
      </c>
      <c r="DC12" s="230" t="str">
        <f t="shared" si="8"/>
        <v/>
      </c>
      <c r="DD12" s="230" t="str">
        <f t="shared" si="8"/>
        <v/>
      </c>
      <c r="DE12" s="230" t="str">
        <f t="shared" si="8"/>
        <v/>
      </c>
      <c r="DF12" s="230" t="str">
        <f t="shared" si="8"/>
        <v/>
      </c>
      <c r="DG12" s="230" t="str">
        <f t="shared" si="8"/>
        <v/>
      </c>
      <c r="DH12" s="230" t="str">
        <f t="shared" si="8"/>
        <v/>
      </c>
      <c r="DI12" s="230" t="str">
        <f t="shared" si="8"/>
        <v/>
      </c>
      <c r="DJ12" s="230" t="str">
        <f t="shared" si="8"/>
        <v/>
      </c>
      <c r="DK12" s="230" t="str">
        <f t="shared" si="8"/>
        <v/>
      </c>
    </row>
    <row r="13" spans="1:115">
      <c r="A13" s="37">
        <v>1093343</v>
      </c>
      <c r="B13" s="1">
        <v>24</v>
      </c>
      <c r="C13" s="27"/>
      <c r="D13" s="25"/>
      <c r="E13" s="289" t="s">
        <v>62</v>
      </c>
      <c r="F13" s="29">
        <v>43003</v>
      </c>
      <c r="G13" s="210" t="s">
        <v>67</v>
      </c>
      <c r="H13" s="83"/>
      <c r="I13" s="29">
        <v>43012</v>
      </c>
      <c r="J13" s="35">
        <v>25.9</v>
      </c>
      <c r="K13" s="35">
        <v>5.0999999999999996</v>
      </c>
      <c r="L13" s="35">
        <v>5</v>
      </c>
      <c r="M13" s="35">
        <f t="shared" si="9"/>
        <v>66.3</v>
      </c>
      <c r="N13" s="30"/>
      <c r="O13" s="30"/>
      <c r="P13" s="35">
        <v>0</v>
      </c>
      <c r="Q13" s="140">
        <f t="shared" si="11"/>
        <v>0</v>
      </c>
      <c r="R13" s="142" t="e">
        <f t="shared" si="5"/>
        <v>#DIV/0!</v>
      </c>
      <c r="S13" s="238"/>
      <c r="T13" s="239"/>
      <c r="U13" s="31"/>
      <c r="V13" s="121"/>
      <c r="W13" s="78">
        <f>5.1*4.1*4.1*0.52</f>
        <v>44.580119999999994</v>
      </c>
      <c r="X13" s="83">
        <v>66.3</v>
      </c>
      <c r="Y13" s="83">
        <f>5.9*5.1*5.1*0.52</f>
        <v>79.79867999999999</v>
      </c>
      <c r="Z13" s="83">
        <f>6*4.6*4.6*0.52</f>
        <v>66.019199999999998</v>
      </c>
      <c r="AA13" s="83">
        <f>6.7*5.1*5.1*0.52</f>
        <v>90.618840000000006</v>
      </c>
      <c r="AB13" s="83">
        <f>7.4*5.1*5.1*0.52</f>
        <v>100.08647999999999</v>
      </c>
      <c r="AC13" s="83">
        <f>8*6*6*0.52</f>
        <v>149.76</v>
      </c>
      <c r="AD13" s="83">
        <f>8.6*6*6*0.52</f>
        <v>160.99199999999999</v>
      </c>
      <c r="AE13" s="83">
        <f>8.3*5.9*5.9*0.52</f>
        <v>150.23996000000002</v>
      </c>
      <c r="AF13" s="83">
        <f>9.4*6.5*6.5*0.52</f>
        <v>206.51800000000003</v>
      </c>
      <c r="AG13" s="83">
        <f>9.6*6.7*6.7*0.52</f>
        <v>224.09088</v>
      </c>
      <c r="AH13" s="83">
        <f>10.2*7.5*7.5*0.52</f>
        <v>298.35000000000002</v>
      </c>
      <c r="AI13" s="83">
        <f>10.2*7.9*7.9*0.52</f>
        <v>331.02264000000002</v>
      </c>
      <c r="AJ13" s="83">
        <f>10.4*8.4*8.4*0.52</f>
        <v>381.58848000000012</v>
      </c>
      <c r="AK13" s="83">
        <f>10.9*8.7*8.7*0.52</f>
        <v>429.01092</v>
      </c>
      <c r="AL13" s="83">
        <f>11.1*8.4*8.4*0.52</f>
        <v>407.27232000000004</v>
      </c>
      <c r="AM13" s="83">
        <f>12*9.6*9.6*0.52</f>
        <v>575.07839999999999</v>
      </c>
      <c r="AN13" s="83">
        <f>11.9*10*10*0.52</f>
        <v>618.80000000000007</v>
      </c>
      <c r="AO13" s="83">
        <f>12.4*10.1*10.1*0.52</f>
        <v>657.76048000000003</v>
      </c>
      <c r="AP13" s="83">
        <f>12.8*11*11*0.52</f>
        <v>805.37600000000009</v>
      </c>
      <c r="AQ13" s="83">
        <f>13.7*11.6*11.6*0.52</f>
        <v>958.60543999999993</v>
      </c>
      <c r="AR13" s="83">
        <f>14.3*12.7*12.7*0.52</f>
        <v>1199.3524399999999</v>
      </c>
      <c r="AS13" s="83">
        <f>14.8*13*13*0.52</f>
        <v>1300.6240000000003</v>
      </c>
      <c r="AT13" s="83">
        <f>15.3*13.8*13.8*0.52</f>
        <v>1515.1406400000003</v>
      </c>
      <c r="AU13" s="83">
        <f>16*14.4*14.4*0.52</f>
        <v>1725.2352000000001</v>
      </c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36"/>
      <c r="BR13" s="230">
        <f t="shared" si="6"/>
        <v>0.67239999999999989</v>
      </c>
      <c r="BS13" s="230">
        <f t="shared" si="6"/>
        <v>1</v>
      </c>
      <c r="BT13" s="230">
        <f t="shared" si="6"/>
        <v>1.2036</v>
      </c>
      <c r="BU13" s="230">
        <f t="shared" si="6"/>
        <v>0.995764705882353</v>
      </c>
      <c r="BV13" s="230">
        <f t="shared" si="6"/>
        <v>1.3668000000000002</v>
      </c>
      <c r="BW13" s="230">
        <f t="shared" si="6"/>
        <v>1.5096000000000001</v>
      </c>
      <c r="BX13" s="230">
        <f t="shared" si="6"/>
        <v>2.2588235294117647</v>
      </c>
      <c r="BY13" s="230">
        <f t="shared" si="6"/>
        <v>2.428235294117647</v>
      </c>
      <c r="BZ13" s="230">
        <f t="shared" si="6"/>
        <v>2.2660627450980395</v>
      </c>
      <c r="CA13" s="230">
        <f t="shared" si="6"/>
        <v>3.1149019607843145</v>
      </c>
      <c r="CB13" s="230">
        <f t="shared" si="6"/>
        <v>3.3799529411764708</v>
      </c>
      <c r="CC13" s="230">
        <f t="shared" si="6"/>
        <v>4.5000000000000009</v>
      </c>
      <c r="CD13" s="230">
        <f t="shared" si="6"/>
        <v>4.9928000000000008</v>
      </c>
      <c r="CE13" s="230">
        <f t="shared" si="6"/>
        <v>5.7554823529411783</v>
      </c>
      <c r="CF13" s="230">
        <f t="shared" si="6"/>
        <v>6.470752941176471</v>
      </c>
      <c r="CG13" s="230">
        <f t="shared" si="6"/>
        <v>6.1428705882352945</v>
      </c>
      <c r="CH13" s="230">
        <f t="shared" si="7"/>
        <v>8.6738823529411775</v>
      </c>
      <c r="CI13" s="230">
        <f t="shared" si="7"/>
        <v>9.3333333333333339</v>
      </c>
      <c r="CJ13" s="230">
        <f t="shared" si="7"/>
        <v>9.9209725490196092</v>
      </c>
      <c r="CK13" s="230">
        <f t="shared" si="7"/>
        <v>12.14745098039216</v>
      </c>
      <c r="CL13" s="230">
        <f t="shared" si="7"/>
        <v>14.458603921568628</v>
      </c>
      <c r="CM13" s="230">
        <f t="shared" si="7"/>
        <v>18.089780392156861</v>
      </c>
      <c r="CN13" s="230">
        <f t="shared" si="7"/>
        <v>19.617254901960788</v>
      </c>
      <c r="CO13" s="230">
        <f t="shared" si="7"/>
        <v>22.852800000000006</v>
      </c>
      <c r="CP13" s="230">
        <f t="shared" si="7"/>
        <v>26.021647058823532</v>
      </c>
      <c r="CQ13" s="230" t="str">
        <f t="shared" si="7"/>
        <v/>
      </c>
      <c r="CR13" s="230" t="str">
        <f t="shared" si="7"/>
        <v/>
      </c>
      <c r="CS13" s="230" t="str">
        <f t="shared" si="7"/>
        <v/>
      </c>
      <c r="CT13" s="230" t="str">
        <f t="shared" si="7"/>
        <v/>
      </c>
      <c r="CU13" s="230" t="str">
        <f t="shared" si="7"/>
        <v/>
      </c>
      <c r="CV13" s="230" t="str">
        <f t="shared" si="7"/>
        <v/>
      </c>
      <c r="CW13" s="230" t="str">
        <f t="shared" si="7"/>
        <v/>
      </c>
      <c r="CX13" s="230" t="str">
        <f t="shared" si="8"/>
        <v/>
      </c>
      <c r="CY13" s="230" t="str">
        <f t="shared" si="8"/>
        <v/>
      </c>
      <c r="CZ13" s="230" t="str">
        <f t="shared" si="8"/>
        <v/>
      </c>
      <c r="DA13" s="230" t="str">
        <f t="shared" si="8"/>
        <v/>
      </c>
      <c r="DB13" s="230" t="str">
        <f t="shared" si="8"/>
        <v/>
      </c>
      <c r="DC13" s="230" t="str">
        <f t="shared" si="8"/>
        <v/>
      </c>
      <c r="DD13" s="230" t="str">
        <f t="shared" si="8"/>
        <v/>
      </c>
      <c r="DE13" s="230" t="str">
        <f t="shared" si="8"/>
        <v/>
      </c>
      <c r="DF13" s="230" t="str">
        <f t="shared" si="8"/>
        <v/>
      </c>
      <c r="DG13" s="230" t="str">
        <f t="shared" si="8"/>
        <v/>
      </c>
      <c r="DH13" s="230" t="str">
        <f t="shared" si="8"/>
        <v/>
      </c>
      <c r="DI13" s="230" t="str">
        <f t="shared" si="8"/>
        <v/>
      </c>
      <c r="DJ13" s="230" t="str">
        <f t="shared" si="8"/>
        <v/>
      </c>
      <c r="DK13" s="230" t="str">
        <f t="shared" si="8"/>
        <v/>
      </c>
    </row>
    <row r="14" spans="1:115">
      <c r="A14" s="38">
        <v>1093343</v>
      </c>
      <c r="B14" s="4">
        <v>25</v>
      </c>
      <c r="C14" s="89"/>
      <c r="D14" s="25"/>
      <c r="E14" s="34" t="s">
        <v>63</v>
      </c>
      <c r="F14" s="29">
        <v>43003</v>
      </c>
      <c r="G14" s="211" t="s">
        <v>67</v>
      </c>
      <c r="H14" s="84"/>
      <c r="I14" s="29">
        <v>43012</v>
      </c>
      <c r="J14" s="40">
        <v>30.1</v>
      </c>
      <c r="K14" s="40">
        <v>6.7</v>
      </c>
      <c r="L14" s="40">
        <v>5.9</v>
      </c>
      <c r="M14" s="35">
        <f t="shared" si="9"/>
        <v>121.27804000000002</v>
      </c>
      <c r="N14" s="30">
        <f t="shared" si="4"/>
        <v>1212.7804000000001</v>
      </c>
      <c r="O14" s="30">
        <f t="shared" si="10"/>
        <v>66.417327491785329</v>
      </c>
      <c r="P14" s="40">
        <v>1230</v>
      </c>
      <c r="Q14" s="141">
        <f t="shared" si="11"/>
        <v>10.141984484577751</v>
      </c>
      <c r="R14" s="142">
        <f t="shared" si="5"/>
        <v>1.0141984484577751</v>
      </c>
      <c r="S14" s="238">
        <v>125</v>
      </c>
      <c r="T14" s="239"/>
      <c r="U14" s="41"/>
      <c r="V14" s="121"/>
      <c r="W14" s="91">
        <f>6.6*5.4*5.4*0.52</f>
        <v>100.07712000000001</v>
      </c>
      <c r="X14" s="84">
        <v>121.27804000000002</v>
      </c>
      <c r="Y14" s="84">
        <f>6.6*6.3*6.3*0.52</f>
        <v>136.21608000000001</v>
      </c>
      <c r="Z14" s="84">
        <f>7.5*6.8*6.8*0.52</f>
        <v>180.33600000000001</v>
      </c>
      <c r="AA14" s="84">
        <f>7.1*6.1*6.1*0.52</f>
        <v>137.37931999999998</v>
      </c>
      <c r="AB14" s="84">
        <f>7.7*5.8*5.8*0.52</f>
        <v>134.69456</v>
      </c>
      <c r="AC14" s="84">
        <f>7.7*6*6*0.52</f>
        <v>144.14400000000003</v>
      </c>
      <c r="AD14" s="84">
        <f>6.5*5.9*5.9*0.52</f>
        <v>117.65780000000001</v>
      </c>
      <c r="AE14" s="84">
        <f>6.8*5.4*5.4*0.52</f>
        <v>103.10976000000001</v>
      </c>
      <c r="AF14" s="84">
        <f>7.7*5.4*5.4*0.52</f>
        <v>116.75664000000002</v>
      </c>
      <c r="AG14" s="84">
        <f>6.6*5.6*5.6*0.52</f>
        <v>107.62751999999998</v>
      </c>
      <c r="AH14" s="84">
        <f>7.7*5.1*5.1*0.52</f>
        <v>104.14403999999998</v>
      </c>
      <c r="AI14" s="84">
        <f>6*5.4*5.4*0.52</f>
        <v>90.97920000000002</v>
      </c>
      <c r="AJ14" s="84">
        <f>6.3*5.9*5.9*0.52</f>
        <v>114.03756000000001</v>
      </c>
      <c r="AK14" s="84">
        <f>6.1*5.6*5.6*0.52</f>
        <v>99.473919999999978</v>
      </c>
      <c r="AL14" s="84">
        <f>7.1*5.8*5.8*0.52</f>
        <v>124.19888</v>
      </c>
      <c r="AM14" s="84">
        <f>7.9*5.5*5.5*0.52</f>
        <v>124.26700000000001</v>
      </c>
      <c r="AN14" s="84">
        <f>7.1*4.8*4.8*0.52</f>
        <v>85.063679999999991</v>
      </c>
      <c r="AO14" s="84">
        <f>7.6*6*6*0.52</f>
        <v>142.27199999999999</v>
      </c>
      <c r="AP14" s="84">
        <f>7.3*6.2*6.2*0.52</f>
        <v>145.91824000000003</v>
      </c>
      <c r="AQ14" s="84">
        <f>8*6.2*6.2*0.52</f>
        <v>159.91040000000004</v>
      </c>
      <c r="AR14" s="84">
        <f>7.5*6.4*6.4*0.52</f>
        <v>159.74400000000003</v>
      </c>
      <c r="AS14" s="84">
        <f>8.8*6.8*6.8*0.52</f>
        <v>211.59424000000001</v>
      </c>
      <c r="AT14" s="84">
        <f>7.7*6.7*6.7*0.52</f>
        <v>179.73956000000001</v>
      </c>
      <c r="AU14" s="84">
        <f>8.2*7.8*7.8*0.52</f>
        <v>259.42175999999995</v>
      </c>
      <c r="AV14" s="84">
        <f>7.2*5.9*5.9*0.52</f>
        <v>130.32864000000004</v>
      </c>
      <c r="AW14" s="84">
        <f>8*6.8*6.8*0.52</f>
        <v>192.35839999999999</v>
      </c>
      <c r="AX14" s="84">
        <f>8.9*7.9*7.9*0.52</f>
        <v>288.83348000000007</v>
      </c>
      <c r="AY14" s="84">
        <f>9*8.3*8.3*0.52</f>
        <v>322.40520000000009</v>
      </c>
      <c r="AZ14" s="84">
        <f>10.6*8.6*8.6*0.52</f>
        <v>407.66751999999997</v>
      </c>
      <c r="BA14" s="84">
        <f>11.5*9.6*9.6*0.52</f>
        <v>551.11680000000001</v>
      </c>
      <c r="BB14" s="84">
        <f>11.2*9.3*9.3*0.52</f>
        <v>503.71776</v>
      </c>
      <c r="BC14" s="84">
        <f>10.2*9.9*9.9*0.52</f>
        <v>519.84503999999993</v>
      </c>
      <c r="BD14" s="84">
        <f>11.4*11.3*11.3*0.52</f>
        <v>756.94632000000024</v>
      </c>
      <c r="BE14" s="84">
        <f>11.8*11.2*11.2*0.52</f>
        <v>769.69983999999988</v>
      </c>
      <c r="BF14" s="84">
        <f>12.9*11.9*11.9*0.52</f>
        <v>949.91988000000015</v>
      </c>
      <c r="BG14" s="84">
        <f>12.8*12.1*12.1*0.52</f>
        <v>974.50495999999998</v>
      </c>
      <c r="BH14" s="84">
        <f>13.4*13.3*13.3*0.52</f>
        <v>1232.5695200000002</v>
      </c>
      <c r="BI14" s="84">
        <f>13.2*12.4*12.4*0.52</f>
        <v>1055.4086400000001</v>
      </c>
      <c r="BJ14" s="84">
        <f>13.8*13.3*13.3*0.52</f>
        <v>1269.3626400000003</v>
      </c>
      <c r="BK14" s="84">
        <f>15.2*13.7*13.7*0.52</f>
        <v>1483.5017599999999</v>
      </c>
      <c r="BL14" s="84">
        <f>14.3*13.9*13.9*0.52</f>
        <v>1436.7095600000002</v>
      </c>
      <c r="BM14" s="84">
        <f>14.7*14.2*14.2*0.52</f>
        <v>1541.3361599999998</v>
      </c>
      <c r="BN14" s="84">
        <f>16*14.4*14.4*0.52</f>
        <v>1725.2352000000001</v>
      </c>
      <c r="BO14" s="84"/>
      <c r="BP14" s="84"/>
      <c r="BQ14" s="42"/>
      <c r="BR14" s="245">
        <f t="shared" si="6"/>
        <v>0.82518747829367944</v>
      </c>
      <c r="BS14" s="245">
        <f t="shared" si="6"/>
        <v>1</v>
      </c>
      <c r="BT14" s="245">
        <f t="shared" si="6"/>
        <v>1.1231718454552859</v>
      </c>
      <c r="BU14" s="245">
        <f t="shared" si="6"/>
        <v>1.4869633447242385</v>
      </c>
      <c r="BV14" s="245">
        <f t="shared" si="6"/>
        <v>1.1327633593023103</v>
      </c>
      <c r="BW14" s="245">
        <f t="shared" si="6"/>
        <v>1.1106261281927048</v>
      </c>
      <c r="BX14" s="245">
        <f t="shared" si="6"/>
        <v>1.1885416354024192</v>
      </c>
      <c r="BY14" s="245">
        <f t="shared" si="6"/>
        <v>0.9701492537313432</v>
      </c>
      <c r="BZ14" s="245">
        <f t="shared" si="6"/>
        <v>0.85019315945409402</v>
      </c>
      <c r="CA14" s="245">
        <f t="shared" si="6"/>
        <v>0.96271872467595943</v>
      </c>
      <c r="CB14" s="245">
        <f t="shared" si="6"/>
        <v>0.88744442110047261</v>
      </c>
      <c r="CC14" s="245">
        <f t="shared" si="6"/>
        <v>0.85872133157824748</v>
      </c>
      <c r="CD14" s="245">
        <f t="shared" si="6"/>
        <v>0.75017043481243595</v>
      </c>
      <c r="CE14" s="245">
        <f t="shared" si="6"/>
        <v>0.94029850746268651</v>
      </c>
      <c r="CF14" s="245">
        <f t="shared" si="6"/>
        <v>0.82021378313831561</v>
      </c>
      <c r="CG14" s="245">
        <f t="shared" si="6"/>
        <v>1.0240838324893771</v>
      </c>
      <c r="CH14" s="245">
        <f t="shared" si="7"/>
        <v>1.0246455170284743</v>
      </c>
      <c r="CI14" s="245">
        <f t="shared" si="7"/>
        <v>0.7013939209439729</v>
      </c>
      <c r="CJ14" s="245">
        <f t="shared" si="7"/>
        <v>1.1731060297478419</v>
      </c>
      <c r="CK14" s="245">
        <f t="shared" si="7"/>
        <v>1.2031711594283681</v>
      </c>
      <c r="CL14" s="245">
        <f t="shared" si="7"/>
        <v>1.3185437363598556</v>
      </c>
      <c r="CM14" s="245">
        <f t="shared" si="7"/>
        <v>1.3171716825238931</v>
      </c>
      <c r="CN14" s="245">
        <f t="shared" si="7"/>
        <v>1.7447036578097732</v>
      </c>
      <c r="CO14" s="245">
        <f t="shared" si="7"/>
        <v>1.4820453892559609</v>
      </c>
      <c r="CP14" s="245">
        <f t="shared" si="7"/>
        <v>2.1390662316112623</v>
      </c>
      <c r="CQ14" s="245">
        <f t="shared" si="7"/>
        <v>1.074626865671642</v>
      </c>
      <c r="CR14" s="245">
        <f t="shared" si="7"/>
        <v>1.5860942343725208</v>
      </c>
      <c r="CS14" s="245">
        <f t="shared" si="7"/>
        <v>2.3815810347858526</v>
      </c>
      <c r="CT14" s="245">
        <f t="shared" si="7"/>
        <v>2.6583971838595022</v>
      </c>
      <c r="CU14" s="245">
        <f t="shared" si="7"/>
        <v>3.3614289940701538</v>
      </c>
      <c r="CV14" s="245">
        <f t="shared" si="7"/>
        <v>4.5442423047074305</v>
      </c>
      <c r="CW14" s="245">
        <f t="shared" si="7"/>
        <v>4.1534127695335439</v>
      </c>
      <c r="CX14" s="245">
        <f t="shared" si="8"/>
        <v>4.2863905122477233</v>
      </c>
      <c r="CY14" s="245">
        <f t="shared" si="8"/>
        <v>6.241412872437583</v>
      </c>
      <c r="CZ14" s="245">
        <f t="shared" si="8"/>
        <v>6.3465722236276223</v>
      </c>
      <c r="DA14" s="245">
        <f t="shared" si="8"/>
        <v>7.8325794183349267</v>
      </c>
      <c r="DB14" s="245">
        <f t="shared" si="8"/>
        <v>8.0352960849301311</v>
      </c>
      <c r="DC14" s="245">
        <f t="shared" si="8"/>
        <v>10.163171502441827</v>
      </c>
      <c r="DD14" s="245">
        <f t="shared" si="8"/>
        <v>8.7023886599750462</v>
      </c>
      <c r="DE14" s="245">
        <f t="shared" si="8"/>
        <v>10.466549756246062</v>
      </c>
      <c r="DF14" s="245">
        <f t="shared" si="8"/>
        <v>12.232237262409582</v>
      </c>
      <c r="DG14" s="245">
        <f t="shared" si="8"/>
        <v>11.846411436068722</v>
      </c>
      <c r="DH14" s="245">
        <f t="shared" si="8"/>
        <v>12.709111723771258</v>
      </c>
      <c r="DI14" s="245">
        <f t="shared" si="8"/>
        <v>14.225454171258043</v>
      </c>
      <c r="DJ14" s="245" t="str">
        <f t="shared" si="8"/>
        <v/>
      </c>
      <c r="DK14" s="245" t="str">
        <f t="shared" si="8"/>
        <v/>
      </c>
    </row>
    <row r="15" spans="1:115">
      <c r="A15" s="290"/>
      <c r="B15" s="291"/>
      <c r="C15" s="292"/>
      <c r="D15" s="290"/>
      <c r="E15" s="293"/>
      <c r="F15" s="294"/>
      <c r="G15" s="295"/>
      <c r="H15" s="296"/>
      <c r="I15" s="294"/>
      <c r="J15" s="297"/>
      <c r="K15" s="298"/>
      <c r="L15" s="298"/>
      <c r="M15" s="297"/>
      <c r="N15" s="297"/>
      <c r="O15" s="297"/>
      <c r="P15" s="297"/>
      <c r="Q15" s="297"/>
      <c r="R15" s="297"/>
      <c r="S15" s="299"/>
      <c r="T15" s="299"/>
      <c r="U15" s="297"/>
      <c r="V15" s="291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6"/>
      <c r="BM15" s="296"/>
      <c r="BN15" s="296"/>
      <c r="BO15" s="296"/>
      <c r="BP15" s="296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  <c r="DJ15" s="291"/>
      <c r="DK15" s="291"/>
    </row>
    <row r="16" spans="1:115" ht="14.25" customHeight="1">
      <c r="A16" s="53"/>
      <c r="B16" s="53"/>
      <c r="C16" s="53"/>
      <c r="E16" s="93" t="s">
        <v>16</v>
      </c>
      <c r="I16" s="300" t="str">
        <f>E16</f>
        <v>Total</v>
      </c>
      <c r="J16" s="57">
        <f>AVERAGE(J5:J14)</f>
        <v>28.73</v>
      </c>
      <c r="K16" s="57"/>
      <c r="L16" s="57"/>
      <c r="M16" s="57">
        <f t="shared" ref="M16:R16" si="12">AVERAGE(M5:M14)</f>
        <v>97.933004000000011</v>
      </c>
      <c r="N16" s="57">
        <f t="shared" si="12"/>
        <v>1049.8923499999999</v>
      </c>
      <c r="O16" s="57">
        <f t="shared" si="12"/>
        <v>57.496842825848844</v>
      </c>
      <c r="P16" s="57">
        <f t="shared" si="12"/>
        <v>898.8</v>
      </c>
      <c r="Q16" s="57">
        <f t="shared" si="12"/>
        <v>8.6010814804612306</v>
      </c>
      <c r="R16" s="57" t="e">
        <f t="shared" si="12"/>
        <v>#DIV/0!</v>
      </c>
      <c r="T16" s="243" t="e">
        <f>AVERAGE(T5:T14)</f>
        <v>#DIV/0!</v>
      </c>
      <c r="U16" s="57" t="e">
        <f>AVERAGE(U5:U14)</f>
        <v>#DIV/0!</v>
      </c>
      <c r="V16" s="72" t="s">
        <v>9</v>
      </c>
      <c r="W16" s="78">
        <f t="shared" ref="W16:BP16" si="13">AVERAGE(W5:W14)</f>
        <v>92.396096000000014</v>
      </c>
      <c r="X16" s="78">
        <f t="shared" si="13"/>
        <v>97.933004000000011</v>
      </c>
      <c r="Y16" s="78">
        <f t="shared" si="13"/>
        <v>116.38468399999999</v>
      </c>
      <c r="Z16" s="78">
        <f t="shared" si="13"/>
        <v>121.106076</v>
      </c>
      <c r="AA16" s="78">
        <f t="shared" si="13"/>
        <v>120.009604</v>
      </c>
      <c r="AB16" s="78">
        <f t="shared" si="13"/>
        <v>132.03579999999999</v>
      </c>
      <c r="AC16" s="78">
        <f t="shared" si="13"/>
        <v>119.05371111111111</v>
      </c>
      <c r="AD16" s="78">
        <f t="shared" si="13"/>
        <v>123.90236444444446</v>
      </c>
      <c r="AE16" s="78">
        <f t="shared" si="13"/>
        <v>117.39924444444445</v>
      </c>
      <c r="AF16" s="78">
        <f t="shared" si="13"/>
        <v>117.73320000000002</v>
      </c>
      <c r="AG16" s="78">
        <f t="shared" si="13"/>
        <v>119.69313777777776</v>
      </c>
      <c r="AH16" s="78">
        <f t="shared" si="13"/>
        <v>124.75458666666665</v>
      </c>
      <c r="AI16" s="78">
        <f t="shared" si="13"/>
        <v>136.39657777777779</v>
      </c>
      <c r="AJ16" s="78">
        <f t="shared" si="13"/>
        <v>153.63648444444445</v>
      </c>
      <c r="AK16" s="78">
        <f t="shared" si="13"/>
        <v>172.79022222222224</v>
      </c>
      <c r="AL16" s="78">
        <f t="shared" si="13"/>
        <v>201.42985777777778</v>
      </c>
      <c r="AM16" s="78">
        <f t="shared" si="13"/>
        <v>248.54174222222224</v>
      </c>
      <c r="AN16" s="78">
        <f t="shared" si="13"/>
        <v>268.67539111111114</v>
      </c>
      <c r="AO16" s="78">
        <f t="shared" si="13"/>
        <v>327.45000888888882</v>
      </c>
      <c r="AP16" s="78">
        <f t="shared" si="13"/>
        <v>226.80703500000001</v>
      </c>
      <c r="AQ16" s="78">
        <f t="shared" si="13"/>
        <v>269.32958000000002</v>
      </c>
      <c r="AR16" s="78">
        <f t="shared" si="13"/>
        <v>324.53967</v>
      </c>
      <c r="AS16" s="78">
        <f t="shared" si="13"/>
        <v>346.57415000000003</v>
      </c>
      <c r="AT16" s="78">
        <f t="shared" si="13"/>
        <v>391.56253500000003</v>
      </c>
      <c r="AU16" s="78">
        <f t="shared" si="13"/>
        <v>456.61525000000006</v>
      </c>
      <c r="AV16" s="78">
        <f t="shared" si="13"/>
        <v>321.08239428571432</v>
      </c>
      <c r="AW16" s="78">
        <f t="shared" si="13"/>
        <v>424.78138857142858</v>
      </c>
      <c r="AX16" s="78">
        <f t="shared" si="13"/>
        <v>465.94094857142863</v>
      </c>
      <c r="AY16" s="78">
        <f t="shared" si="13"/>
        <v>593.56276571428577</v>
      </c>
      <c r="AZ16" s="78">
        <f t="shared" si="13"/>
        <v>633.0852914285714</v>
      </c>
      <c r="BA16" s="78">
        <f t="shared" si="13"/>
        <v>586.08402666666677</v>
      </c>
      <c r="BB16" s="78">
        <f t="shared" si="13"/>
        <v>646.6398466666667</v>
      </c>
      <c r="BC16" s="78">
        <f t="shared" si="13"/>
        <v>761.95972666666682</v>
      </c>
      <c r="BD16" s="78">
        <f t="shared" si="13"/>
        <v>812.64612</v>
      </c>
      <c r="BE16" s="78">
        <f t="shared" si="13"/>
        <v>1009.0934533333334</v>
      </c>
      <c r="BF16" s="78">
        <f t="shared" si="13"/>
        <v>639.37718000000007</v>
      </c>
      <c r="BG16" s="78">
        <f t="shared" si="13"/>
        <v>674.15920000000006</v>
      </c>
      <c r="BH16" s="78">
        <f t="shared" si="13"/>
        <v>753.98479000000009</v>
      </c>
      <c r="BI16" s="78">
        <f t="shared" si="13"/>
        <v>777.11842000000001</v>
      </c>
      <c r="BJ16" s="78">
        <f t="shared" si="13"/>
        <v>833.65581000000009</v>
      </c>
      <c r="BK16" s="78">
        <f t="shared" si="13"/>
        <v>667.15982666666662</v>
      </c>
      <c r="BL16" s="78">
        <f t="shared" si="13"/>
        <v>649.74329333333344</v>
      </c>
      <c r="BM16" s="78">
        <f t="shared" si="13"/>
        <v>752.01290666666671</v>
      </c>
      <c r="BN16" s="78">
        <f t="shared" si="13"/>
        <v>824.05457333333334</v>
      </c>
      <c r="BO16" s="78">
        <f t="shared" si="13"/>
        <v>452.86071999999996</v>
      </c>
      <c r="BP16" s="78">
        <f t="shared" si="13"/>
        <v>549.20450000000005</v>
      </c>
      <c r="BQ16" s="101" t="s">
        <v>9</v>
      </c>
      <c r="BR16" s="73">
        <f t="shared" ref="BR16:DK16" si="14">AVERAGE(BR5:BR14)</f>
        <v>0.97513281540427887</v>
      </c>
      <c r="BS16" s="73">
        <f t="shared" si="14"/>
        <v>1</v>
      </c>
      <c r="BT16" s="73">
        <f t="shared" si="14"/>
        <v>1.1808252597592648</v>
      </c>
      <c r="BU16" s="73">
        <f t="shared" si="14"/>
        <v>1.2295762223667901</v>
      </c>
      <c r="BV16" s="73">
        <f t="shared" si="14"/>
        <v>1.2467679395825531</v>
      </c>
      <c r="BW16" s="73">
        <f t="shared" si="14"/>
        <v>1.3657400656432157</v>
      </c>
      <c r="BX16" s="73">
        <f t="shared" si="14"/>
        <v>1.2698918693957093</v>
      </c>
      <c r="BY16" s="73">
        <f t="shared" si="14"/>
        <v>1.3603313316151173</v>
      </c>
      <c r="BZ16" s="73">
        <f t="shared" si="14"/>
        <v>1.2825440546382825</v>
      </c>
      <c r="CA16" s="73">
        <f t="shared" si="14"/>
        <v>1.3402300344912843</v>
      </c>
      <c r="CB16" s="73">
        <f t="shared" si="14"/>
        <v>1.4064944492486886</v>
      </c>
      <c r="CC16" s="73">
        <f t="shared" si="14"/>
        <v>1.5474864657407428</v>
      </c>
      <c r="CD16" s="73">
        <f t="shared" si="14"/>
        <v>1.6947614147022412</v>
      </c>
      <c r="CE16" s="73">
        <f t="shared" si="14"/>
        <v>1.9103203180200765</v>
      </c>
      <c r="CF16" s="73">
        <f t="shared" si="14"/>
        <v>2.1827460005638937</v>
      </c>
      <c r="CG16" s="73">
        <f t="shared" si="14"/>
        <v>2.4876754649676602</v>
      </c>
      <c r="CH16" s="73">
        <f t="shared" si="14"/>
        <v>3.1287796335610087</v>
      </c>
      <c r="CI16" s="73">
        <f t="shared" si="14"/>
        <v>3.4768904490118007</v>
      </c>
      <c r="CJ16" s="73">
        <f t="shared" si="14"/>
        <v>4.1114319606380132</v>
      </c>
      <c r="CK16" s="73">
        <f t="shared" si="14"/>
        <v>2.7060320191318974</v>
      </c>
      <c r="CL16" s="73">
        <f t="shared" si="14"/>
        <v>3.2523062244687551</v>
      </c>
      <c r="CM16" s="73">
        <f t="shared" si="14"/>
        <v>3.9262381275731322</v>
      </c>
      <c r="CN16" s="73">
        <f t="shared" si="14"/>
        <v>4.1778646295458071</v>
      </c>
      <c r="CO16" s="73">
        <f t="shared" si="14"/>
        <v>4.758535481116704</v>
      </c>
      <c r="CP16" s="73">
        <f t="shared" si="14"/>
        <v>5.5628729924575167</v>
      </c>
      <c r="CQ16" s="73">
        <f t="shared" si="14"/>
        <v>3.1125401658042544</v>
      </c>
      <c r="CR16" s="73">
        <f t="shared" si="14"/>
        <v>4.1751284972693874</v>
      </c>
      <c r="CS16" s="73">
        <f t="shared" si="14"/>
        <v>4.5031605385564948</v>
      </c>
      <c r="CT16" s="73">
        <f t="shared" si="14"/>
        <v>5.6723552009792089</v>
      </c>
      <c r="CU16" s="73">
        <f t="shared" si="14"/>
        <v>6.131987861549038</v>
      </c>
      <c r="CV16" s="73">
        <f t="shared" si="14"/>
        <v>5.2283991332766924</v>
      </c>
      <c r="CW16" s="73">
        <f t="shared" si="14"/>
        <v>5.7482727354729208</v>
      </c>
      <c r="CX16" s="73">
        <f t="shared" si="14"/>
        <v>6.7368484452782882</v>
      </c>
      <c r="CY16" s="73">
        <f t="shared" si="14"/>
        <v>7.1820264488874521</v>
      </c>
      <c r="CZ16" s="73">
        <f t="shared" si="14"/>
        <v>9.0373158155005964</v>
      </c>
      <c r="DA16" s="73">
        <f t="shared" si="14"/>
        <v>5.8029638897851719</v>
      </c>
      <c r="DB16" s="73">
        <f t="shared" si="14"/>
        <v>6.193187565113174</v>
      </c>
      <c r="DC16" s="73">
        <f t="shared" si="14"/>
        <v>6.8859626633510791</v>
      </c>
      <c r="DD16" s="73">
        <f t="shared" si="14"/>
        <v>7.2352395030608543</v>
      </c>
      <c r="DE16" s="73">
        <f t="shared" si="14"/>
        <v>7.6482044323179377</v>
      </c>
      <c r="DF16" s="73">
        <f t="shared" si="14"/>
        <v>6.1184760728977592</v>
      </c>
      <c r="DG16" s="73">
        <f t="shared" si="14"/>
        <v>5.9388002708573273</v>
      </c>
      <c r="DH16" s="73">
        <f t="shared" si="14"/>
        <v>7.0318072356054913</v>
      </c>
      <c r="DI16" s="73">
        <f t="shared" si="14"/>
        <v>7.6364629579765628</v>
      </c>
      <c r="DJ16" s="73">
        <f t="shared" si="14"/>
        <v>5.2416948861888901</v>
      </c>
      <c r="DK16" s="73">
        <f t="shared" si="14"/>
        <v>6.2752557088621144</v>
      </c>
    </row>
    <row r="17" spans="1:126" ht="14.25" customHeight="1">
      <c r="E17" s="301"/>
      <c r="I17" s="300"/>
      <c r="J17" s="57">
        <f>_xlfn.STDEV.P(J5:J14)</f>
        <v>1.8831091311976591</v>
      </c>
      <c r="K17" s="57"/>
      <c r="L17" s="57"/>
      <c r="M17" s="57">
        <f t="shared" ref="M17:R17" si="15">_xlfn.STDEV.P(M5:M14)</f>
        <v>21.170182793855702</v>
      </c>
      <c r="N17" s="57">
        <f t="shared" si="15"/>
        <v>175.60326519121907</v>
      </c>
      <c r="O17" s="57">
        <f t="shared" si="15"/>
        <v>9.616827228434774</v>
      </c>
      <c r="P17" s="57">
        <f t="shared" si="15"/>
        <v>474.54584604651217</v>
      </c>
      <c r="Q17" s="57">
        <f t="shared" si="15"/>
        <v>4.3429019019755764</v>
      </c>
      <c r="R17" s="57" t="e">
        <f t="shared" si="15"/>
        <v>#DIV/0!</v>
      </c>
      <c r="T17" s="243" t="e">
        <f>_xlfn.STDEV.P(T5:T14)</f>
        <v>#DIV/0!</v>
      </c>
      <c r="U17" s="57" t="e">
        <f>_xlfn.STDEV.P(U5:U14)</f>
        <v>#DIV/0!</v>
      </c>
      <c r="V17" s="72" t="s">
        <v>11</v>
      </c>
      <c r="W17" s="81">
        <f t="shared" ref="W17:BP17" si="16">STDEVA(W5:W14)</f>
        <v>23.70440967885515</v>
      </c>
      <c r="X17" s="81">
        <f t="shared" si="16"/>
        <v>22.315332036896951</v>
      </c>
      <c r="Y17" s="81">
        <f t="shared" si="16"/>
        <v>38.741549954476348</v>
      </c>
      <c r="Z17" s="81">
        <f t="shared" si="16"/>
        <v>37.431914401272024</v>
      </c>
      <c r="AA17" s="81">
        <f t="shared" si="16"/>
        <v>24.203360280522695</v>
      </c>
      <c r="AB17" s="81">
        <f t="shared" si="16"/>
        <v>22.253286956366651</v>
      </c>
      <c r="AC17" s="81">
        <f t="shared" si="16"/>
        <v>22.614861172421804</v>
      </c>
      <c r="AD17" s="81">
        <f t="shared" si="16"/>
        <v>26.770856898242471</v>
      </c>
      <c r="AE17" s="81">
        <f t="shared" si="16"/>
        <v>39.175421286206756</v>
      </c>
      <c r="AF17" s="81">
        <f t="shared" si="16"/>
        <v>65.944760593721142</v>
      </c>
      <c r="AG17" s="81">
        <f t="shared" si="16"/>
        <v>90.013712470272282</v>
      </c>
      <c r="AH17" s="81">
        <f t="shared" si="16"/>
        <v>140.43036777249145</v>
      </c>
      <c r="AI17" s="81">
        <f t="shared" si="16"/>
        <v>146.69067571278833</v>
      </c>
      <c r="AJ17" s="81">
        <f t="shared" si="16"/>
        <v>166.37196377102293</v>
      </c>
      <c r="AK17" s="81">
        <f t="shared" si="16"/>
        <v>204.87225205830501</v>
      </c>
      <c r="AL17" s="81">
        <f t="shared" si="16"/>
        <v>222.86973974645738</v>
      </c>
      <c r="AM17" s="81">
        <f t="shared" si="16"/>
        <v>297.55420696957134</v>
      </c>
      <c r="AN17" s="81">
        <f t="shared" si="16"/>
        <v>372.99479181823307</v>
      </c>
      <c r="AO17" s="81">
        <f t="shared" si="16"/>
        <v>408.90987848124132</v>
      </c>
      <c r="AP17" s="81">
        <f t="shared" si="16"/>
        <v>255.42677665801378</v>
      </c>
      <c r="AQ17" s="81">
        <f t="shared" si="16"/>
        <v>320.55147642620432</v>
      </c>
      <c r="AR17" s="81">
        <f t="shared" si="16"/>
        <v>398.68714542773614</v>
      </c>
      <c r="AS17" s="81">
        <f t="shared" si="16"/>
        <v>412.58606238546554</v>
      </c>
      <c r="AT17" s="81">
        <f t="shared" si="16"/>
        <v>481.73970122143174</v>
      </c>
      <c r="AU17" s="81">
        <f t="shared" si="16"/>
        <v>549.6625496383574</v>
      </c>
      <c r="AV17" s="81">
        <f t="shared" si="16"/>
        <v>334.39924924134425</v>
      </c>
      <c r="AW17" s="81">
        <f t="shared" si="16"/>
        <v>488.07643310181686</v>
      </c>
      <c r="AX17" s="81">
        <f t="shared" si="16"/>
        <v>434.6837297558954</v>
      </c>
      <c r="AY17" s="81">
        <f t="shared" si="16"/>
        <v>530.17621011043468</v>
      </c>
      <c r="AZ17" s="81">
        <f t="shared" si="16"/>
        <v>592.75943352454669</v>
      </c>
      <c r="BA17" s="81">
        <f t="shared" si="16"/>
        <v>450.14118928595298</v>
      </c>
      <c r="BB17" s="81">
        <f t="shared" si="16"/>
        <v>524.9487442992388</v>
      </c>
      <c r="BC17" s="81">
        <f t="shared" si="16"/>
        <v>640.72513944694413</v>
      </c>
      <c r="BD17" s="81">
        <f t="shared" si="16"/>
        <v>611.37235469803829</v>
      </c>
      <c r="BE17" s="81">
        <f t="shared" si="16"/>
        <v>774.83382277641374</v>
      </c>
      <c r="BF17" s="81">
        <f t="shared" si="16"/>
        <v>651.61200071769213</v>
      </c>
      <c r="BG17" s="81">
        <f t="shared" si="16"/>
        <v>610.17826144558205</v>
      </c>
      <c r="BH17" s="81">
        <f t="shared" si="16"/>
        <v>665.63914901158955</v>
      </c>
      <c r="BI17" s="81">
        <f t="shared" si="16"/>
        <v>657.35460417431375</v>
      </c>
      <c r="BJ17" s="81">
        <f t="shared" si="16"/>
        <v>714.2061212700213</v>
      </c>
      <c r="BK17" s="81">
        <f t="shared" si="16"/>
        <v>722.45924328629883</v>
      </c>
      <c r="BL17" s="81">
        <f t="shared" si="16"/>
        <v>693.5099060656878</v>
      </c>
      <c r="BM17" s="81">
        <f t="shared" si="16"/>
        <v>710.02566599784848</v>
      </c>
      <c r="BN17" s="81">
        <f t="shared" si="16"/>
        <v>801.72996469909401</v>
      </c>
      <c r="BO17" s="81">
        <f t="shared" si="16"/>
        <v>300.63227458133747</v>
      </c>
      <c r="BP17" s="81">
        <f t="shared" si="16"/>
        <v>315.45518432972358</v>
      </c>
      <c r="BQ17" s="102" t="s">
        <v>11</v>
      </c>
      <c r="BR17" s="74">
        <f t="shared" ref="BR17:DK17" si="17">STDEVA(BR5:BR14)</f>
        <v>0.31548099267501112</v>
      </c>
      <c r="BS17" s="74">
        <f t="shared" si="17"/>
        <v>0</v>
      </c>
      <c r="BT17" s="74">
        <f t="shared" si="17"/>
        <v>0.30996374833631596</v>
      </c>
      <c r="BU17" s="74">
        <f t="shared" si="17"/>
        <v>0.25390224397512767</v>
      </c>
      <c r="BV17" s="74">
        <f t="shared" si="17"/>
        <v>0.20247924857035809</v>
      </c>
      <c r="BW17" s="74">
        <f t="shared" si="17"/>
        <v>0.47916469671345274</v>
      </c>
      <c r="BX17" s="74">
        <f t="shared" si="17"/>
        <v>0.57720367031241204</v>
      </c>
      <c r="BY17" s="74">
        <f t="shared" si="17"/>
        <v>0.72163288488429922</v>
      </c>
      <c r="BZ17" s="74">
        <f t="shared" si="17"/>
        <v>0.76697244908946605</v>
      </c>
      <c r="CA17" s="74">
        <f t="shared" si="17"/>
        <v>1.1064964223962399</v>
      </c>
      <c r="CB17" s="74">
        <f t="shared" si="17"/>
        <v>1.3930044926175527</v>
      </c>
      <c r="CC17" s="74">
        <f t="shared" si="17"/>
        <v>2.0168327282187044</v>
      </c>
      <c r="CD17" s="74">
        <f t="shared" si="17"/>
        <v>2.1299101265951639</v>
      </c>
      <c r="CE17" s="74">
        <f t="shared" si="17"/>
        <v>2.4058287880077609</v>
      </c>
      <c r="CF17" s="74">
        <f t="shared" si="17"/>
        <v>2.9139771103035144</v>
      </c>
      <c r="CG17" s="74">
        <f t="shared" si="17"/>
        <v>3.1718464934720969</v>
      </c>
      <c r="CH17" s="74">
        <f t="shared" si="17"/>
        <v>4.1989764336465054</v>
      </c>
      <c r="CI17" s="74">
        <f t="shared" si="17"/>
        <v>5.1493289531826365</v>
      </c>
      <c r="CJ17" s="74">
        <f t="shared" si="17"/>
        <v>5.6754310645280874</v>
      </c>
      <c r="CK17" s="74">
        <f t="shared" si="17"/>
        <v>3.6657558821093943</v>
      </c>
      <c r="CL17" s="74">
        <f t="shared" si="17"/>
        <v>4.4843900539187933</v>
      </c>
      <c r="CM17" s="74">
        <f t="shared" si="17"/>
        <v>5.5732182320969521</v>
      </c>
      <c r="CN17" s="74">
        <f t="shared" si="17"/>
        <v>5.9172152366106241</v>
      </c>
      <c r="CO17" s="74">
        <f t="shared" si="17"/>
        <v>6.8937141711035901</v>
      </c>
      <c r="CP17" s="74">
        <f t="shared" si="17"/>
        <v>7.8814032896828206</v>
      </c>
      <c r="CQ17" s="74">
        <f t="shared" si="17"/>
        <v>3.2621539059535145</v>
      </c>
      <c r="CR17" s="74">
        <f t="shared" si="17"/>
        <v>4.7783792599581147</v>
      </c>
      <c r="CS17" s="74">
        <f t="shared" si="17"/>
        <v>4.3791706572417484</v>
      </c>
      <c r="CT17" s="74">
        <f t="shared" si="17"/>
        <v>5.2521804232629421</v>
      </c>
      <c r="CU17" s="74">
        <f t="shared" si="17"/>
        <v>6.0057653029685314</v>
      </c>
      <c r="CV17" s="74">
        <f t="shared" si="17"/>
        <v>4.0361405633255227</v>
      </c>
      <c r="CW17" s="74">
        <f t="shared" si="17"/>
        <v>4.4811724047569665</v>
      </c>
      <c r="CX17" s="74">
        <f t="shared" si="17"/>
        <v>5.3173699665476555</v>
      </c>
      <c r="CY17" s="74">
        <f t="shared" si="17"/>
        <v>5.271176517155121</v>
      </c>
      <c r="CZ17" s="74">
        <f t="shared" si="17"/>
        <v>6.8855586683231538</v>
      </c>
      <c r="DA17" s="74">
        <f t="shared" si="17"/>
        <v>4.4724133353756308</v>
      </c>
      <c r="DB17" s="74">
        <f t="shared" si="17"/>
        <v>4.4367666863259423</v>
      </c>
      <c r="DC17" s="74">
        <f t="shared" si="17"/>
        <v>4.8397057677865369</v>
      </c>
      <c r="DD17" s="74">
        <f t="shared" si="17"/>
        <v>4.9979452169242586</v>
      </c>
      <c r="DE17" s="74">
        <f t="shared" si="17"/>
        <v>5.3128023695800843</v>
      </c>
      <c r="DF17" s="74">
        <f t="shared" si="17"/>
        <v>4.0009386625807535</v>
      </c>
      <c r="DG17" s="74">
        <f t="shared" si="17"/>
        <v>3.8584210298767743</v>
      </c>
      <c r="DH17" s="74">
        <f t="shared" si="17"/>
        <v>4.3259862057265384</v>
      </c>
      <c r="DI17" s="74">
        <f t="shared" si="17"/>
        <v>4.7522007341441244</v>
      </c>
      <c r="DJ17" s="74">
        <f t="shared" si="17"/>
        <v>2.6998626485609991</v>
      </c>
      <c r="DK17" s="74">
        <f t="shared" si="17"/>
        <v>3.1498811434490528</v>
      </c>
    </row>
    <row r="18" spans="1:126" s="171" customFormat="1" ht="14.25" customHeight="1">
      <c r="A18" s="167"/>
      <c r="B18" s="168"/>
      <c r="C18" s="169"/>
      <c r="D18" s="182"/>
      <c r="E18" s="170"/>
      <c r="G18" s="168"/>
      <c r="H18" s="168"/>
      <c r="I18" s="172"/>
      <c r="J18" s="302"/>
      <c r="K18" s="302"/>
      <c r="L18" s="302"/>
      <c r="M18" s="302"/>
      <c r="N18" s="302"/>
      <c r="O18" s="302"/>
      <c r="P18" s="302"/>
      <c r="Q18" s="302"/>
      <c r="R18" s="302"/>
      <c r="S18" s="303"/>
      <c r="T18" s="303"/>
      <c r="U18" s="302"/>
      <c r="V18" s="304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175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77"/>
      <c r="DM18" s="177"/>
      <c r="DN18" s="177"/>
      <c r="DO18" s="177"/>
      <c r="DP18" s="177"/>
      <c r="DQ18" s="177"/>
      <c r="DR18" s="177"/>
      <c r="DS18" s="177"/>
      <c r="DT18" s="177"/>
      <c r="DU18" s="177"/>
    </row>
    <row r="19" spans="1:126" ht="15">
      <c r="A19" s="113"/>
      <c r="E19" s="118"/>
      <c r="I19" s="52"/>
      <c r="K19" s="57"/>
      <c r="L19" s="57"/>
      <c r="Q19" s="57"/>
      <c r="R19" s="57"/>
      <c r="U19" s="57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</row>
    <row r="20" spans="1:126" ht="14.25" customHeight="1">
      <c r="A20" s="113"/>
      <c r="E20" s="118" t="str">
        <f>'AsPc1 REPEAT Groups'!C6</f>
        <v>AsPc-1 - Control</v>
      </c>
      <c r="I20" s="118" t="str">
        <f>E20</f>
        <v>AsPc-1 - Control</v>
      </c>
      <c r="J20" s="305">
        <f>AVERAGEIF($E$5:$E$14,$E20,J$5:J$14)</f>
        <v>26.299999999999997</v>
      </c>
      <c r="K20" s="305"/>
      <c r="L20" s="305"/>
      <c r="M20" s="305">
        <f t="shared" ref="M20:R20" si="18">AVERAGEIF($E$5:$E$14,$E20,M$5:M$14)</f>
        <v>69.70808000000001</v>
      </c>
      <c r="N20" s="305" t="e">
        <f t="shared" si="18"/>
        <v>#DIV/0!</v>
      </c>
      <c r="O20" s="305" t="e">
        <f t="shared" si="18"/>
        <v>#DIV/0!</v>
      </c>
      <c r="P20" s="305">
        <f t="shared" si="18"/>
        <v>0</v>
      </c>
      <c r="Q20" s="305">
        <f t="shared" si="18"/>
        <v>0</v>
      </c>
      <c r="R20" s="305" t="e">
        <f t="shared" si="18"/>
        <v>#DIV/0!</v>
      </c>
      <c r="S20" s="303"/>
      <c r="T20" s="303" t="e">
        <f>AVERAGEIF($E$5:$E$14,$E20,T$5:T$14)</f>
        <v>#DIV/0!</v>
      </c>
      <c r="U20" s="305" t="e">
        <f>AVERAGEIF($E$5:$E$14,$E20,U$5:U$14)</f>
        <v>#DIV/0!</v>
      </c>
      <c r="V20" s="72" t="s">
        <v>9</v>
      </c>
      <c r="W20" s="78">
        <f t="shared" ref="W20:BP20" si="19">AVERAGEIF($E$5:$E$14,$E20,W$5:W$14)</f>
        <v>78.403780000000012</v>
      </c>
      <c r="X20" s="78">
        <f t="shared" si="19"/>
        <v>69.70808000000001</v>
      </c>
      <c r="Y20" s="78">
        <f t="shared" si="19"/>
        <v>60.004099999999994</v>
      </c>
      <c r="Z20" s="78">
        <f t="shared" si="19"/>
        <v>69.527639999999991</v>
      </c>
      <c r="AA20" s="78">
        <f t="shared" si="19"/>
        <v>100.51808000000001</v>
      </c>
      <c r="AB20" s="78">
        <f t="shared" si="19"/>
        <v>109.01123999999999</v>
      </c>
      <c r="AC20" s="78">
        <f t="shared" si="19"/>
        <v>133.58591999999999</v>
      </c>
      <c r="AD20" s="78">
        <f t="shared" si="19"/>
        <v>166.17899999999997</v>
      </c>
      <c r="AE20" s="78">
        <f t="shared" si="19"/>
        <v>173.15974000000003</v>
      </c>
      <c r="AF20" s="78">
        <f t="shared" si="19"/>
        <v>226.10900000000004</v>
      </c>
      <c r="AG20" s="78">
        <f t="shared" si="19"/>
        <v>268.22847999999999</v>
      </c>
      <c r="AH20" s="78">
        <f t="shared" si="19"/>
        <v>360.70060000000001</v>
      </c>
      <c r="AI20" s="78">
        <f t="shared" si="19"/>
        <v>385.12343999999996</v>
      </c>
      <c r="AJ20" s="78">
        <f t="shared" si="19"/>
        <v>430.88292000000001</v>
      </c>
      <c r="AK20" s="78">
        <f t="shared" si="19"/>
        <v>514.15026000000012</v>
      </c>
      <c r="AL20" s="78">
        <f t="shared" si="19"/>
        <v>559.46202000000005</v>
      </c>
      <c r="AM20" s="78">
        <f t="shared" si="19"/>
        <v>735.73110000000008</v>
      </c>
      <c r="AN20" s="78">
        <f t="shared" si="19"/>
        <v>874.39663999999993</v>
      </c>
      <c r="AO20" s="78">
        <f t="shared" si="19"/>
        <v>968.68303999999989</v>
      </c>
      <c r="AP20" s="78">
        <f t="shared" si="19"/>
        <v>805.37600000000009</v>
      </c>
      <c r="AQ20" s="78">
        <f t="shared" si="19"/>
        <v>958.60543999999993</v>
      </c>
      <c r="AR20" s="78">
        <f t="shared" si="19"/>
        <v>1199.3524399999999</v>
      </c>
      <c r="AS20" s="78">
        <f t="shared" si="19"/>
        <v>1300.6240000000003</v>
      </c>
      <c r="AT20" s="78">
        <f t="shared" si="19"/>
        <v>1515.1406400000003</v>
      </c>
      <c r="AU20" s="78">
        <f t="shared" si="19"/>
        <v>1725.2352000000001</v>
      </c>
      <c r="AV20" s="78" t="e">
        <f t="shared" si="19"/>
        <v>#DIV/0!</v>
      </c>
      <c r="AW20" s="78" t="e">
        <f t="shared" si="19"/>
        <v>#DIV/0!</v>
      </c>
      <c r="AX20" s="78" t="e">
        <f t="shared" si="19"/>
        <v>#DIV/0!</v>
      </c>
      <c r="AY20" s="78" t="e">
        <f t="shared" si="19"/>
        <v>#DIV/0!</v>
      </c>
      <c r="AZ20" s="78" t="e">
        <f t="shared" si="19"/>
        <v>#DIV/0!</v>
      </c>
      <c r="BA20" s="78" t="e">
        <f t="shared" si="19"/>
        <v>#DIV/0!</v>
      </c>
      <c r="BB20" s="78" t="e">
        <f t="shared" si="19"/>
        <v>#DIV/0!</v>
      </c>
      <c r="BC20" s="78" t="e">
        <f t="shared" si="19"/>
        <v>#DIV/0!</v>
      </c>
      <c r="BD20" s="78" t="e">
        <f t="shared" si="19"/>
        <v>#DIV/0!</v>
      </c>
      <c r="BE20" s="78" t="e">
        <f t="shared" si="19"/>
        <v>#DIV/0!</v>
      </c>
      <c r="BF20" s="78" t="e">
        <f t="shared" si="19"/>
        <v>#DIV/0!</v>
      </c>
      <c r="BG20" s="78" t="e">
        <f t="shared" si="19"/>
        <v>#DIV/0!</v>
      </c>
      <c r="BH20" s="78" t="e">
        <f t="shared" si="19"/>
        <v>#DIV/0!</v>
      </c>
      <c r="BI20" s="78" t="e">
        <f t="shared" si="19"/>
        <v>#DIV/0!</v>
      </c>
      <c r="BJ20" s="78" t="e">
        <f t="shared" si="19"/>
        <v>#DIV/0!</v>
      </c>
      <c r="BK20" s="78" t="e">
        <f t="shared" si="19"/>
        <v>#DIV/0!</v>
      </c>
      <c r="BL20" s="78" t="e">
        <f t="shared" si="19"/>
        <v>#DIV/0!</v>
      </c>
      <c r="BM20" s="78" t="e">
        <f t="shared" si="19"/>
        <v>#DIV/0!</v>
      </c>
      <c r="BN20" s="78" t="e">
        <f t="shared" si="19"/>
        <v>#DIV/0!</v>
      </c>
      <c r="BO20" s="78" t="e">
        <f t="shared" si="19"/>
        <v>#DIV/0!</v>
      </c>
      <c r="BP20" s="78" t="e">
        <f t="shared" si="19"/>
        <v>#DIV/0!</v>
      </c>
      <c r="BQ20" s="103" t="s">
        <v>9</v>
      </c>
      <c r="BR20" s="73">
        <f t="shared" ref="BR20:DK20" si="20">AVERAGEIF($E$5:$E$14,$E20,BR$5:BR$14)</f>
        <v>1.1036598884842967</v>
      </c>
      <c r="BS20" s="73">
        <f t="shared" si="20"/>
        <v>1</v>
      </c>
      <c r="BT20" s="73">
        <f t="shared" si="20"/>
        <v>0.87677012972234847</v>
      </c>
      <c r="BU20" s="73">
        <f t="shared" si="20"/>
        <v>0.9973347311842351</v>
      </c>
      <c r="BV20" s="73">
        <f t="shared" si="20"/>
        <v>1.4384815031861629</v>
      </c>
      <c r="BW20" s="73">
        <f t="shared" si="20"/>
        <v>1.5612974965862536</v>
      </c>
      <c r="BX20" s="73">
        <f t="shared" si="20"/>
        <v>1.9323248279739749</v>
      </c>
      <c r="BY20" s="73">
        <f t="shared" si="20"/>
        <v>2.3859926470588233</v>
      </c>
      <c r="BZ20" s="73">
        <f t="shared" si="20"/>
        <v>2.473908136317795</v>
      </c>
      <c r="CA20" s="73">
        <f t="shared" si="20"/>
        <v>3.2376540982801858</v>
      </c>
      <c r="CB20" s="73">
        <f t="shared" si="20"/>
        <v>3.8260711451444482</v>
      </c>
      <c r="CC20" s="73">
        <f t="shared" si="20"/>
        <v>5.1430075102412376</v>
      </c>
      <c r="CD20" s="73">
        <f t="shared" si="20"/>
        <v>5.5000057692307678</v>
      </c>
      <c r="CE20" s="73">
        <f t="shared" si="20"/>
        <v>6.1614021345953027</v>
      </c>
      <c r="CF20" s="73">
        <f t="shared" si="20"/>
        <v>7.3335785643524591</v>
      </c>
      <c r="CG20" s="73">
        <f t="shared" si="20"/>
        <v>7.9380182765937501</v>
      </c>
      <c r="CH20" s="73">
        <f t="shared" si="20"/>
        <v>10.466802208559802</v>
      </c>
      <c r="CI20" s="73">
        <f t="shared" si="20"/>
        <v>12.394050599302075</v>
      </c>
      <c r="CJ20" s="73">
        <f t="shared" si="20"/>
        <v>13.710984112470657</v>
      </c>
      <c r="CK20" s="73">
        <f t="shared" si="20"/>
        <v>12.14745098039216</v>
      </c>
      <c r="CL20" s="73">
        <f t="shared" si="20"/>
        <v>14.458603921568628</v>
      </c>
      <c r="CM20" s="73">
        <f t="shared" si="20"/>
        <v>18.089780392156861</v>
      </c>
      <c r="CN20" s="73">
        <f t="shared" si="20"/>
        <v>19.617254901960788</v>
      </c>
      <c r="CO20" s="73">
        <f t="shared" si="20"/>
        <v>22.852800000000006</v>
      </c>
      <c r="CP20" s="73">
        <f t="shared" si="20"/>
        <v>26.021647058823532</v>
      </c>
      <c r="CQ20" s="73" t="e">
        <f t="shared" si="20"/>
        <v>#DIV/0!</v>
      </c>
      <c r="CR20" s="73" t="e">
        <f t="shared" si="20"/>
        <v>#DIV/0!</v>
      </c>
      <c r="CS20" s="73" t="e">
        <f t="shared" si="20"/>
        <v>#DIV/0!</v>
      </c>
      <c r="CT20" s="73" t="e">
        <f t="shared" si="20"/>
        <v>#DIV/0!</v>
      </c>
      <c r="CU20" s="73" t="e">
        <f t="shared" si="20"/>
        <v>#DIV/0!</v>
      </c>
      <c r="CV20" s="73" t="e">
        <f t="shared" si="20"/>
        <v>#DIV/0!</v>
      </c>
      <c r="CW20" s="73" t="e">
        <f t="shared" si="20"/>
        <v>#DIV/0!</v>
      </c>
      <c r="CX20" s="73" t="e">
        <f t="shared" si="20"/>
        <v>#DIV/0!</v>
      </c>
      <c r="CY20" s="73" t="e">
        <f t="shared" si="20"/>
        <v>#DIV/0!</v>
      </c>
      <c r="CZ20" s="73" t="e">
        <f t="shared" si="20"/>
        <v>#DIV/0!</v>
      </c>
      <c r="DA20" s="73" t="e">
        <f t="shared" si="20"/>
        <v>#DIV/0!</v>
      </c>
      <c r="DB20" s="73" t="e">
        <f t="shared" si="20"/>
        <v>#DIV/0!</v>
      </c>
      <c r="DC20" s="73" t="e">
        <f t="shared" si="20"/>
        <v>#DIV/0!</v>
      </c>
      <c r="DD20" s="73" t="e">
        <f t="shared" si="20"/>
        <v>#DIV/0!</v>
      </c>
      <c r="DE20" s="73" t="e">
        <f t="shared" si="20"/>
        <v>#DIV/0!</v>
      </c>
      <c r="DF20" s="73" t="e">
        <f t="shared" si="20"/>
        <v>#DIV/0!</v>
      </c>
      <c r="DG20" s="73" t="e">
        <f t="shared" si="20"/>
        <v>#DIV/0!</v>
      </c>
      <c r="DH20" s="73" t="e">
        <f t="shared" si="20"/>
        <v>#DIV/0!</v>
      </c>
      <c r="DI20" s="73" t="e">
        <f t="shared" si="20"/>
        <v>#DIV/0!</v>
      </c>
      <c r="DJ20" s="73" t="e">
        <f t="shared" si="20"/>
        <v>#DIV/0!</v>
      </c>
      <c r="DK20" s="73" t="e">
        <f t="shared" si="20"/>
        <v>#DIV/0!</v>
      </c>
      <c r="DL20" s="177" t="e">
        <f>#REF!</f>
        <v>#REF!</v>
      </c>
      <c r="DM20" s="177" t="e">
        <f>#REF!</f>
        <v>#REF!</v>
      </c>
      <c r="DN20" s="177" t="e">
        <f>#REF!</f>
        <v>#REF!</v>
      </c>
      <c r="DO20" s="177" t="e">
        <f>#REF!</f>
        <v>#REF!</v>
      </c>
      <c r="DP20" s="177" t="e">
        <f>#REF!</f>
        <v>#REF!</v>
      </c>
      <c r="DQ20" s="177" t="e">
        <f>#REF!</f>
        <v>#REF!</v>
      </c>
      <c r="DR20" s="177" t="e">
        <f>#REF!</f>
        <v>#REF!</v>
      </c>
      <c r="DS20" s="177" t="e">
        <f>#REF!</f>
        <v>#REF!</v>
      </c>
      <c r="DT20" s="177" t="e">
        <f>#REF!</f>
        <v>#REF!</v>
      </c>
      <c r="DU20" s="177" t="e">
        <f>#REF!</f>
        <v>#REF!</v>
      </c>
      <c r="DV20" s="162" t="e">
        <f>#REF!</f>
        <v>#REF!</v>
      </c>
    </row>
    <row r="21" spans="1:126" ht="14.25" customHeight="1">
      <c r="A21" s="113"/>
      <c r="E21" s="118"/>
      <c r="I21" s="93"/>
      <c r="J21" s="305">
        <f t="array" ref="J21">_xlfn.STDEV.P(IF($E$5:$E$14=$E20,J$5:J$14))</f>
        <v>0.40000000000000036</v>
      </c>
      <c r="K21" s="305"/>
      <c r="L21" s="305"/>
      <c r="M21" s="305">
        <f t="array" ref="M21">_xlfn.STDEV.P(IF($E$5:$E$14=$E20,M$5:M$14))</f>
        <v>3.4080800000000124</v>
      </c>
      <c r="N21" s="305">
        <f t="array" ref="N21">_xlfn.STDEV.P(IF($E$5:$E$14=$E20,N$5:N$14))</f>
        <v>0</v>
      </c>
      <c r="O21" s="305">
        <f t="array" ref="O21">_xlfn.STDEV.P(IF($E$5:$E$14=$E20,O$5:O$14))</f>
        <v>0</v>
      </c>
      <c r="P21" s="305">
        <f t="array" ref="P21">_xlfn.STDEV.P(IF($E$5:$E$14=$E20,P$5:P$14))</f>
        <v>0</v>
      </c>
      <c r="Q21" s="305">
        <f t="array" ref="Q21">_xlfn.STDEV.P(IF($E$5:$E$14=$E20,Q$5:Q$14))</f>
        <v>0</v>
      </c>
      <c r="R21" s="305" t="e">
        <f t="array" ref="R21">_xlfn.STDEV.P(IF($E$5:$E$14=$E20,R$5:R$14))</f>
        <v>#DIV/0!</v>
      </c>
      <c r="S21" s="303"/>
      <c r="T21" s="303">
        <f t="array" ref="T21">_xlfn.STDEV.P(IF($E$5:$E$14=$E20,T$5:T$14))</f>
        <v>0</v>
      </c>
      <c r="U21" s="305">
        <f t="array" ref="U21">_xlfn.STDEV.P(IF($E$5:$E$14=$E20,U$5:U$14))</f>
        <v>0</v>
      </c>
      <c r="V21" s="72" t="s">
        <v>11</v>
      </c>
      <c r="W21" s="81">
        <f t="array" ref="W21">_xlfn.STDEV.P(IF($E$5:$E$14=$E20,W$5:W$14))</f>
        <v>33.823660000000004</v>
      </c>
      <c r="X21" s="81">
        <f t="array" ref="X21">_xlfn.STDEV.P(IF($E$5:$E$14=$E20,X$5:X$14))</f>
        <v>3.4080800000000124</v>
      </c>
      <c r="Y21" s="81">
        <f t="array" ref="Y21">_xlfn.STDEV.P(IF($E$5:$E$14=$E20,Y$5:Y$14))</f>
        <v>19.794579999999996</v>
      </c>
      <c r="Z21" s="81">
        <f t="array" ref="Z21">_xlfn.STDEV.P(IF($E$5:$E$14=$E20,Z$5:Z$14))</f>
        <v>3.5084400000000002</v>
      </c>
      <c r="AA21" s="81">
        <f t="array" ref="AA21">_xlfn.STDEV.P(IF($E$5:$E$14=$E20,AA$5:AA$14))</f>
        <v>9.899240000000006</v>
      </c>
      <c r="AB21" s="81">
        <f t="array" ref="AB21">_xlfn.STDEV.P(IF($E$5:$E$14=$E20,AB$5:AB$14))</f>
        <v>8.9247599999999991</v>
      </c>
      <c r="AC21" s="81">
        <f t="array" ref="AC21">_xlfn.STDEV.P(IF($E$5:$E$14=$E20,AC$5:AC$14))</f>
        <v>16.174079999999915</v>
      </c>
      <c r="AD21" s="81">
        <f t="array" ref="AD21">_xlfn.STDEV.P(IF($E$5:$E$14=$E20,AD$5:AD$14))</f>
        <v>5.1869999999999976</v>
      </c>
      <c r="AE21" s="81">
        <f t="array" ref="AE21">_xlfn.STDEV.P(IF($E$5:$E$14=$E20,AE$5:AE$14))</f>
        <v>22.919780000000028</v>
      </c>
      <c r="AF21" s="81">
        <f t="array" ref="AF21">_xlfn.STDEV.P(IF($E$5:$E$14=$E20,AF$5:AF$14))</f>
        <v>19.590999999999994</v>
      </c>
      <c r="AG21" s="81">
        <f t="array" ref="AG21">_xlfn.STDEV.P(IF($E$5:$E$14=$E20,AG$5:AG$14))</f>
        <v>44.137600000000212</v>
      </c>
      <c r="AH21" s="81">
        <f t="array" ref="AH21">_xlfn.STDEV.P(IF($E$5:$E$14=$E20,AH$5:AH$14))</f>
        <v>62.350600000000121</v>
      </c>
      <c r="AI21" s="81">
        <f t="array" ref="AI21">_xlfn.STDEV.P(IF($E$5:$E$14=$E20,AI$5:AI$14))</f>
        <v>54.100800000000149</v>
      </c>
      <c r="AJ21" s="81">
        <f t="array" ref="AJ21">_xlfn.STDEV.P(IF($E$5:$E$14=$E20,AJ$5:AJ$14))</f>
        <v>49.294439999999888</v>
      </c>
      <c r="AK21" s="81">
        <f t="array" ref="AK21">_xlfn.STDEV.P(IF($E$5:$E$14=$E20,AK$5:AK$14))</f>
        <v>85.139339999999834</v>
      </c>
      <c r="AL21" s="81">
        <f t="array" ref="AL21">_xlfn.STDEV.P(IF($E$5:$E$14=$E20,AL$5:AL$14))</f>
        <v>152.18970000000002</v>
      </c>
      <c r="AM21" s="81">
        <f t="array" ref="AM21">_xlfn.STDEV.P(IF($E$5:$E$14=$E20,AM$5:AM$14))</f>
        <v>160.65270000000012</v>
      </c>
      <c r="AN21" s="81">
        <f t="array" ref="AN21">_xlfn.STDEV.P(IF($E$5:$E$14=$E20,AN$5:AN$14))</f>
        <v>255.59663999999978</v>
      </c>
      <c r="AO21" s="81">
        <f t="array" ref="AO21">_xlfn.STDEV.P(IF($E$5:$E$14=$E20,AO$5:AO$14))</f>
        <v>310.92256000000003</v>
      </c>
      <c r="AP21" s="81">
        <f t="array" ref="AP21">_xlfn.STDEV.P(IF($E$5:$E$14=$E20,AP$5:AP$14))</f>
        <v>402.68800000000005</v>
      </c>
      <c r="AQ21" s="81">
        <f t="array" ref="AQ21">_xlfn.STDEV.P(IF($E$5:$E$14=$E20,AQ$5:AQ$14))</f>
        <v>479.30271999999997</v>
      </c>
      <c r="AR21" s="81">
        <f t="array" ref="AR21">_xlfn.STDEV.P(IF($E$5:$E$14=$E20,AR$5:AR$14))</f>
        <v>599.67621999999994</v>
      </c>
      <c r="AS21" s="81">
        <f t="array" ref="AS21">_xlfn.STDEV.P(IF($E$5:$E$14=$E20,AS$5:AS$14))</f>
        <v>650.31200000000013</v>
      </c>
      <c r="AT21" s="81">
        <f t="array" ref="AT21">_xlfn.STDEV.P(IF($E$5:$E$14=$E20,AT$5:AT$14))</f>
        <v>757.57032000000015</v>
      </c>
      <c r="AU21" s="81">
        <f t="array" ref="AU21">_xlfn.STDEV.P(IF($E$5:$E$14=$E20,AU$5:AU$14))</f>
        <v>862.61760000000004</v>
      </c>
      <c r="AV21" s="81">
        <f t="array" ref="AV21">_xlfn.STDEV.P(IF($E$5:$E$14=$E20,AV$5:AV$14))</f>
        <v>0</v>
      </c>
      <c r="AW21" s="81">
        <f t="array" ref="AW21">_xlfn.STDEV.P(IF($E$5:$E$14=$E20,AW$5:AW$14))</f>
        <v>0</v>
      </c>
      <c r="AX21" s="81">
        <f t="array" ref="AX21">_xlfn.STDEV.P(IF($E$5:$E$14=$E20,AX$5:AX$14))</f>
        <v>0</v>
      </c>
      <c r="AY21" s="81">
        <f t="array" ref="AY21">_xlfn.STDEV.P(IF($E$5:$E$14=$E20,AY$5:AY$14))</f>
        <v>0</v>
      </c>
      <c r="AZ21" s="81">
        <f t="array" ref="AZ21">_xlfn.STDEV.P(IF($E$5:$E$14=$E20,AZ$5:AZ$14))</f>
        <v>0</v>
      </c>
      <c r="BA21" s="81">
        <f t="array" ref="BA21">_xlfn.STDEV.P(IF($E$5:$E$14=$E20,BA$5:BA$14))</f>
        <v>0</v>
      </c>
      <c r="BB21" s="81">
        <f t="array" ref="BB21">_xlfn.STDEV.P(IF($E$5:$E$14=$E20,BB$5:BB$14))</f>
        <v>0</v>
      </c>
      <c r="BC21" s="81">
        <f t="array" ref="BC21">_xlfn.STDEV.P(IF($E$5:$E$14=$E20,BC$5:BC$14))</f>
        <v>0</v>
      </c>
      <c r="BD21" s="81">
        <f t="array" ref="BD21">_xlfn.STDEV.P(IF($E$5:$E$14=$E20,BD$5:BD$14))</f>
        <v>0</v>
      </c>
      <c r="BE21" s="81">
        <f t="array" ref="BE21">_xlfn.STDEV.P(IF($E$5:$E$14=$E20,BE$5:BE$14))</f>
        <v>0</v>
      </c>
      <c r="BF21" s="81">
        <f t="array" ref="BF21">_xlfn.STDEV.P(IF($E$5:$E$14=$E20,BF$5:BF$14))</f>
        <v>0</v>
      </c>
      <c r="BG21" s="81">
        <f t="array" ref="BG21">_xlfn.STDEV.P(IF($E$5:$E$14=$E20,BG$5:BG$14))</f>
        <v>0</v>
      </c>
      <c r="BH21" s="81">
        <f t="array" ref="BH21">_xlfn.STDEV.P(IF($E$5:$E$14=$E20,BH$5:BH$14))</f>
        <v>0</v>
      </c>
      <c r="BI21" s="81">
        <f t="array" ref="BI21">_xlfn.STDEV.P(IF($E$5:$E$14=$E20,BI$5:BI$14))</f>
        <v>0</v>
      </c>
      <c r="BJ21" s="81">
        <f t="array" ref="BJ21">_xlfn.STDEV.P(IF($E$5:$E$14=$E20,BJ$5:BJ$14))</f>
        <v>0</v>
      </c>
      <c r="BK21" s="81">
        <f t="array" ref="BK21">_xlfn.STDEV.P(IF($E$5:$E$14=$E20,BK$5:BK$14))</f>
        <v>0</v>
      </c>
      <c r="BL21" s="81">
        <f t="array" ref="BL21">_xlfn.STDEV.P(IF($E$5:$E$14=$E20,BL$5:BL$14))</f>
        <v>0</v>
      </c>
      <c r="BM21" s="81">
        <f t="array" ref="BM21">_xlfn.STDEV.P(IF($E$5:$E$14=$E20,BM$5:BM$14))</f>
        <v>0</v>
      </c>
      <c r="BN21" s="81">
        <f t="array" ref="BN21">_xlfn.STDEV.P(IF($E$5:$E$14=$E20,BN$5:BN$14))</f>
        <v>0</v>
      </c>
      <c r="BO21" s="81">
        <f t="array" ref="BO21">_xlfn.STDEV.P(IF($E$5:$E$14=$E20,BO$5:BO$14))</f>
        <v>0</v>
      </c>
      <c r="BP21" s="81">
        <f t="array" ref="BP21">_xlfn.STDEV.P(IF($E$5:$E$14=$E20,BP$5:BP$14))</f>
        <v>0</v>
      </c>
      <c r="BQ21" s="104" t="s">
        <v>11</v>
      </c>
      <c r="BR21" s="74">
        <f t="array" ref="BR21">_xlfn.STDEV.P(IF($E$5:$E$14=$E20,BR$5:BR$14))</f>
        <v>0.43125988848429658</v>
      </c>
      <c r="BS21" s="74">
        <f t="array" ref="BS21">_xlfn.STDEV.P(IF($E$5:$E$14=$E20,BS$5:BS$14))</f>
        <v>0</v>
      </c>
      <c r="BT21" s="74">
        <f t="array" ref="BT21">_xlfn.STDEV.P(IF($E$5:$E$14=$E20,BT$5:BT$14))</f>
        <v>0.32682987027765154</v>
      </c>
      <c r="BU21" s="74">
        <f t="array" ref="BU21">_xlfn.STDEV.P(IF($E$5:$E$14=$E20,BU$5:BU$14))</f>
        <v>1.5700253018820498E-3</v>
      </c>
      <c r="BV21" s="74">
        <f t="array" ref="BV21">_xlfn.STDEV.P(IF($E$5:$E$14=$E20,BV$5:BV$14))</f>
        <v>7.1681503186162732E-2</v>
      </c>
      <c r="BW21" s="74">
        <f t="array" ref="BW21">_xlfn.STDEV.P(IF($E$5:$E$14=$E20,BW$5:BW$14))</f>
        <v>5.1697496586253666E-2</v>
      </c>
      <c r="BX21" s="74">
        <f t="array" ref="BX21">_xlfn.STDEV.P(IF($E$5:$E$14=$E20,BX$5:BX$14))</f>
        <v>0.32649870143778981</v>
      </c>
      <c r="BY21" s="74">
        <f t="array" ref="BY21">_xlfn.STDEV.P(IF($E$5:$E$14=$E20,BY$5:BY$14))</f>
        <v>4.2242647058823968E-2</v>
      </c>
      <c r="BZ21" s="74">
        <f t="array" ref="BZ21">_xlfn.STDEV.P(IF($E$5:$E$14=$E20,BZ$5:BZ$14))</f>
        <v>0.20784539121975576</v>
      </c>
      <c r="CA21" s="74">
        <f t="array" ref="CA21">_xlfn.STDEV.P(IF($E$5:$E$14=$E20,CA$5:CA$14))</f>
        <v>0.12275213749587155</v>
      </c>
      <c r="CB21" s="74">
        <f t="array" ref="CB21">_xlfn.STDEV.P(IF($E$5:$E$14=$E20,CB$5:CB$14))</f>
        <v>0.44611820396797358</v>
      </c>
      <c r="CC21" s="74">
        <f t="array" ref="CC21">_xlfn.STDEV.P(IF($E$5:$E$14=$E20,CC$5:CC$14))</f>
        <v>0.64300751024123692</v>
      </c>
      <c r="CD21" s="74">
        <f t="array" ref="CD21">_xlfn.STDEV.P(IF($E$5:$E$14=$E20,CD$5:CD$14))</f>
        <v>0.50720576923076743</v>
      </c>
      <c r="CE21" s="74">
        <f t="array" ref="CE21">_xlfn.STDEV.P(IF($E$5:$E$14=$E20,CE$5:CE$14))</f>
        <v>0.4059197816541249</v>
      </c>
      <c r="CF21" s="74">
        <f t="array" ref="CF21">_xlfn.STDEV.P(IF($E$5:$E$14=$E20,CF$5:CF$14))</f>
        <v>0.86282562317598877</v>
      </c>
      <c r="CG21" s="74">
        <f t="array" ref="CG21">_xlfn.STDEV.P(IF($E$5:$E$14=$E20,CG$5:CG$14))</f>
        <v>1.7951476883584523</v>
      </c>
      <c r="CH21" s="74">
        <f t="array" ref="CH21">_xlfn.STDEV.P(IF($E$5:$E$14=$E20,CH$5:CH$14))</f>
        <v>1.7929198556186186</v>
      </c>
      <c r="CI21" s="74">
        <f t="array" ref="CI21">_xlfn.STDEV.P(IF($E$5:$E$14=$E20,CI$5:CI$14))</f>
        <v>3.0607172659687385</v>
      </c>
      <c r="CJ21" s="74">
        <f t="array" ref="CJ21">_xlfn.STDEV.P(IF($E$5:$E$14=$E20,CJ$5:CJ$14))</f>
        <v>3.7900115634510487</v>
      </c>
      <c r="CK21" s="74">
        <f t="array" ref="CK21">_xlfn.STDEV.P(IF($E$5:$E$14=$E20,CK$5:CK$14))</f>
        <v>0</v>
      </c>
      <c r="CL21" s="74">
        <f t="array" ref="CL21">_xlfn.STDEV.P(IF($E$5:$E$14=$E20,CL$5:CL$14))</f>
        <v>0</v>
      </c>
      <c r="CM21" s="74">
        <f t="array" ref="CM21">_xlfn.STDEV.P(IF($E$5:$E$14=$E20,CM$5:CM$14))</f>
        <v>0</v>
      </c>
      <c r="CN21" s="74">
        <f t="array" ref="CN21">_xlfn.STDEV.P(IF($E$5:$E$14=$E20,CN$5:CN$14))</f>
        <v>0</v>
      </c>
      <c r="CO21" s="74">
        <f t="array" ref="CO21">_xlfn.STDEV.P(IF($E$5:$E$14=$E20,CO$5:CO$14))</f>
        <v>0</v>
      </c>
      <c r="CP21" s="74">
        <f t="array" ref="CP21">_xlfn.STDEV.P(IF($E$5:$E$14=$E20,CP$5:CP$14))</f>
        <v>0</v>
      </c>
      <c r="CQ21" s="74" t="e">
        <f t="array" ref="CQ21">_xlfn.STDEV.P(IF($E$5:$E$14=$E20,CQ$5:CQ$14))</f>
        <v>#DIV/0!</v>
      </c>
      <c r="CR21" s="74" t="e">
        <f t="array" ref="CR21">_xlfn.STDEV.P(IF($E$5:$E$14=$E20,CR$5:CR$14))</f>
        <v>#DIV/0!</v>
      </c>
      <c r="CS21" s="74" t="e">
        <f t="array" ref="CS21">_xlfn.STDEV.P(IF($E$5:$E$14=$E20,CS$5:CS$14))</f>
        <v>#DIV/0!</v>
      </c>
      <c r="CT21" s="74" t="e">
        <f t="array" ref="CT21">_xlfn.STDEV.P(IF($E$5:$E$14=$E20,CT$5:CT$14))</f>
        <v>#DIV/0!</v>
      </c>
      <c r="CU21" s="74" t="e">
        <f t="array" ref="CU21">_xlfn.STDEV.P(IF($E$5:$E$14=$E20,CU$5:CU$14))</f>
        <v>#DIV/0!</v>
      </c>
      <c r="CV21" s="74" t="e">
        <f t="array" ref="CV21">_xlfn.STDEV.P(IF($E$5:$E$14=$E20,CV$5:CV$14))</f>
        <v>#DIV/0!</v>
      </c>
      <c r="CW21" s="74" t="e">
        <f t="array" ref="CW21">_xlfn.STDEV.P(IF($E$5:$E$14=$E20,CW$5:CW$14))</f>
        <v>#DIV/0!</v>
      </c>
      <c r="CX21" s="74" t="e">
        <f t="array" ref="CX21">_xlfn.STDEV.P(IF($E$5:$E$14=$E20,CX$5:CX$14))</f>
        <v>#DIV/0!</v>
      </c>
      <c r="CY21" s="74" t="e">
        <f t="array" ref="CY21">_xlfn.STDEV.P(IF($E$5:$E$14=$E20,CY$5:CY$14))</f>
        <v>#DIV/0!</v>
      </c>
      <c r="CZ21" s="74" t="e">
        <f t="array" ref="CZ21">_xlfn.STDEV.P(IF($E$5:$E$14=$E20,CZ$5:CZ$14))</f>
        <v>#DIV/0!</v>
      </c>
      <c r="DA21" s="74" t="e">
        <f t="array" ref="DA21">_xlfn.STDEV.P(IF($E$5:$E$14=$E20,DA$5:DA$14))</f>
        <v>#DIV/0!</v>
      </c>
      <c r="DB21" s="74" t="e">
        <f t="array" ref="DB21">_xlfn.STDEV.P(IF($E$5:$E$14=$E20,DB$5:DB$14))</f>
        <v>#DIV/0!</v>
      </c>
      <c r="DC21" s="74" t="e">
        <f t="array" ref="DC21">_xlfn.STDEV.P(IF($E$5:$E$14=$E20,DC$5:DC$14))</f>
        <v>#DIV/0!</v>
      </c>
      <c r="DD21" s="74" t="e">
        <f t="array" ref="DD21">_xlfn.STDEV.P(IF($E$5:$E$14=$E20,DD$5:DD$14))</f>
        <v>#DIV/0!</v>
      </c>
      <c r="DE21" s="74" t="e">
        <f t="array" ref="DE21">_xlfn.STDEV.P(IF($E$5:$E$14=$E20,DE$5:DE$14))</f>
        <v>#DIV/0!</v>
      </c>
      <c r="DF21" s="74" t="e">
        <f t="array" ref="DF21">_xlfn.STDEV.P(IF($E$5:$E$14=$E20,DF$5:DF$14))</f>
        <v>#DIV/0!</v>
      </c>
      <c r="DG21" s="74" t="e">
        <f t="array" ref="DG21">_xlfn.STDEV.P(IF($E$5:$E$14=$E20,DG$5:DG$14))</f>
        <v>#DIV/0!</v>
      </c>
      <c r="DH21" s="74" t="e">
        <f t="array" ref="DH21">_xlfn.STDEV.P(IF($E$5:$E$14=$E20,DH$5:DH$14))</f>
        <v>#DIV/0!</v>
      </c>
      <c r="DI21" s="74" t="e">
        <f t="array" ref="DI21">_xlfn.STDEV.P(IF($E$5:$E$14=$E20,DI$5:DI$14))</f>
        <v>#DIV/0!</v>
      </c>
      <c r="DJ21" s="74" t="e">
        <f t="array" ref="DJ21">_xlfn.STDEV.P(IF($E$5:$E$14=$E20,DJ$5:DJ$14))</f>
        <v>#DIV/0!</v>
      </c>
      <c r="DK21" s="74" t="e">
        <f t="array" ref="DK21">_xlfn.STDEV.P(IF($E$5:$E$14=$E20,DK$5:DK$14))</f>
        <v>#DIV/0!</v>
      </c>
      <c r="DL21" s="177" t="e">
        <f>#REF!</f>
        <v>#REF!</v>
      </c>
      <c r="DM21" s="177" t="e">
        <f>#REF!</f>
        <v>#REF!</v>
      </c>
      <c r="DN21" s="177" t="e">
        <f>#REF!</f>
        <v>#REF!</v>
      </c>
      <c r="DO21" s="177" t="e">
        <f>#REF!</f>
        <v>#REF!</v>
      </c>
      <c r="DP21" s="177" t="e">
        <f>#REF!</f>
        <v>#REF!</v>
      </c>
      <c r="DQ21" s="177" t="e">
        <f>#REF!</f>
        <v>#REF!</v>
      </c>
      <c r="DR21" s="177" t="e">
        <f>#REF!</f>
        <v>#REF!</v>
      </c>
      <c r="DS21" s="177" t="e">
        <f>#REF!</f>
        <v>#REF!</v>
      </c>
      <c r="DT21" s="177" t="e">
        <f>#REF!</f>
        <v>#REF!</v>
      </c>
      <c r="DU21" s="177" t="e">
        <f>#REF!</f>
        <v>#REF!</v>
      </c>
      <c r="DV21" s="162" t="e">
        <f>#REF!</f>
        <v>#REF!</v>
      </c>
    </row>
    <row r="22" spans="1:126" ht="15">
      <c r="A22" s="113"/>
      <c r="E22" s="118"/>
      <c r="I22" s="52"/>
      <c r="K22" s="57"/>
      <c r="L22" s="57"/>
      <c r="Q22" s="57"/>
      <c r="R22" s="57"/>
      <c r="U22" s="57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</row>
    <row r="23" spans="1:126" ht="14.25" customHeight="1">
      <c r="A23" s="113"/>
      <c r="E23" s="118" t="str">
        <f>'AsPc1 REPEAT Groups'!C7</f>
        <v>AsPc-1 - CP-PTX Combo</v>
      </c>
      <c r="I23" s="118" t="str">
        <f>E23</f>
        <v>AsPc-1 - CP-PTX Combo</v>
      </c>
      <c r="J23" s="305">
        <f>AVERAGEIF($E$5:$E$14,$E23,J$5:J$14)</f>
        <v>29.471428571428568</v>
      </c>
      <c r="K23" s="305"/>
      <c r="L23" s="305"/>
      <c r="M23" s="305">
        <f t="shared" ref="M23:R23" si="21">AVERAGEIF($E$5:$E$14,$E23,M$5:M$14)</f>
        <v>107.62180000000001</v>
      </c>
      <c r="N23" s="305">
        <f t="shared" si="21"/>
        <v>1076.2180000000001</v>
      </c>
      <c r="O23" s="305">
        <f t="shared" si="21"/>
        <v>58.938554216867466</v>
      </c>
      <c r="P23" s="305">
        <f t="shared" si="21"/>
        <v>1141.5714285714287</v>
      </c>
      <c r="Q23" s="305">
        <f t="shared" si="21"/>
        <v>10.641851848986045</v>
      </c>
      <c r="R23" s="305">
        <f t="shared" si="21"/>
        <v>1.0641851848986046</v>
      </c>
      <c r="S23" s="303"/>
      <c r="T23" s="303" t="e">
        <f>AVERAGEIF($E$5:$E$14,$E23,T$5:T$14)</f>
        <v>#DIV/0!</v>
      </c>
      <c r="U23" s="305" t="e">
        <f>AVERAGEIF($E$5:$E$14,$E23,U$5:U$14)</f>
        <v>#DIV/0!</v>
      </c>
      <c r="V23" s="72" t="s">
        <v>9</v>
      </c>
      <c r="W23" s="78">
        <f t="shared" ref="W23:BP23" si="22">AVERAGEIF($E$5:$E$14,$E23,W$5:W$14)</f>
        <v>96.238554285714287</v>
      </c>
      <c r="X23" s="78">
        <f t="shared" si="22"/>
        <v>107.62180000000001</v>
      </c>
      <c r="Y23" s="78">
        <f t="shared" si="22"/>
        <v>135.25630857142858</v>
      </c>
      <c r="Z23" s="78">
        <f t="shared" si="22"/>
        <v>136.83644000000001</v>
      </c>
      <c r="AA23" s="78">
        <f t="shared" si="22"/>
        <v>130.1590457142857</v>
      </c>
      <c r="AB23" s="78">
        <f t="shared" si="22"/>
        <v>138.61424571428572</v>
      </c>
      <c r="AC23" s="78">
        <f t="shared" si="22"/>
        <v>114.90165142857144</v>
      </c>
      <c r="AD23" s="78">
        <f t="shared" si="22"/>
        <v>111.82332571428573</v>
      </c>
      <c r="AE23" s="78">
        <f t="shared" si="22"/>
        <v>101.46767428571431</v>
      </c>
      <c r="AF23" s="78">
        <f t="shared" si="22"/>
        <v>86.768685714285724</v>
      </c>
      <c r="AG23" s="78">
        <f t="shared" si="22"/>
        <v>77.254468571428575</v>
      </c>
      <c r="AH23" s="78">
        <f t="shared" si="22"/>
        <v>57.341439999999992</v>
      </c>
      <c r="AI23" s="78">
        <f t="shared" si="22"/>
        <v>65.331760000000003</v>
      </c>
      <c r="AJ23" s="78">
        <f t="shared" si="22"/>
        <v>74.423217142857155</v>
      </c>
      <c r="AK23" s="78">
        <f t="shared" si="22"/>
        <v>75.258782857142862</v>
      </c>
      <c r="AL23" s="78">
        <f t="shared" si="22"/>
        <v>99.134954285714301</v>
      </c>
      <c r="AM23" s="78">
        <f t="shared" si="22"/>
        <v>109.34478285714287</v>
      </c>
      <c r="AN23" s="78">
        <f t="shared" si="22"/>
        <v>95.612177142857149</v>
      </c>
      <c r="AO23" s="78">
        <f t="shared" si="22"/>
        <v>144.24057142857143</v>
      </c>
      <c r="AP23" s="78">
        <f t="shared" si="22"/>
        <v>144.15432571428573</v>
      </c>
      <c r="AQ23" s="78">
        <f t="shared" si="22"/>
        <v>170.86160000000001</v>
      </c>
      <c r="AR23" s="78">
        <f t="shared" si="22"/>
        <v>199.56641714285712</v>
      </c>
      <c r="AS23" s="78">
        <f t="shared" si="22"/>
        <v>210.28131428571427</v>
      </c>
      <c r="AT23" s="78">
        <f t="shared" si="22"/>
        <v>231.05137714285715</v>
      </c>
      <c r="AU23" s="78">
        <f t="shared" si="22"/>
        <v>275.38382857142858</v>
      </c>
      <c r="AV23" s="78">
        <f t="shared" si="22"/>
        <v>321.08239428571432</v>
      </c>
      <c r="AW23" s="78">
        <f t="shared" si="22"/>
        <v>424.78138857142858</v>
      </c>
      <c r="AX23" s="78">
        <f t="shared" si="22"/>
        <v>465.94094857142863</v>
      </c>
      <c r="AY23" s="78">
        <f t="shared" si="22"/>
        <v>593.56276571428577</v>
      </c>
      <c r="AZ23" s="78">
        <f t="shared" si="22"/>
        <v>633.0852914285714</v>
      </c>
      <c r="BA23" s="78">
        <f t="shared" si="22"/>
        <v>586.08402666666677</v>
      </c>
      <c r="BB23" s="78">
        <f t="shared" si="22"/>
        <v>646.6398466666667</v>
      </c>
      <c r="BC23" s="78">
        <f t="shared" si="22"/>
        <v>761.95972666666682</v>
      </c>
      <c r="BD23" s="78">
        <f t="shared" si="22"/>
        <v>812.64612</v>
      </c>
      <c r="BE23" s="78">
        <f t="shared" si="22"/>
        <v>1009.0934533333334</v>
      </c>
      <c r="BF23" s="78">
        <f t="shared" si="22"/>
        <v>639.37718000000007</v>
      </c>
      <c r="BG23" s="78">
        <f t="shared" si="22"/>
        <v>674.15920000000006</v>
      </c>
      <c r="BH23" s="78">
        <f t="shared" si="22"/>
        <v>753.98479000000009</v>
      </c>
      <c r="BI23" s="78">
        <f t="shared" si="22"/>
        <v>777.11842000000001</v>
      </c>
      <c r="BJ23" s="78">
        <f t="shared" si="22"/>
        <v>833.65581000000009</v>
      </c>
      <c r="BK23" s="78">
        <f t="shared" si="22"/>
        <v>667.15982666666662</v>
      </c>
      <c r="BL23" s="78">
        <f t="shared" si="22"/>
        <v>649.74329333333344</v>
      </c>
      <c r="BM23" s="78">
        <f t="shared" si="22"/>
        <v>752.01290666666671</v>
      </c>
      <c r="BN23" s="78">
        <f t="shared" si="22"/>
        <v>824.05457333333334</v>
      </c>
      <c r="BO23" s="78">
        <f t="shared" si="22"/>
        <v>452.86071999999996</v>
      </c>
      <c r="BP23" s="78">
        <f t="shared" si="22"/>
        <v>549.20450000000005</v>
      </c>
      <c r="BQ23" s="103" t="s">
        <v>9</v>
      </c>
      <c r="BR23" s="73">
        <f t="shared" ref="BR23:DK23" si="23">AVERAGEIF($E$5:$E$14,$E23,BR$5:BR$14)</f>
        <v>0.92343416206788498</v>
      </c>
      <c r="BS23" s="73">
        <f t="shared" si="23"/>
        <v>1</v>
      </c>
      <c r="BT23" s="73">
        <f t="shared" si="23"/>
        <v>1.2762292959588524</v>
      </c>
      <c r="BU23" s="73">
        <f t="shared" si="23"/>
        <v>1.283195599062988</v>
      </c>
      <c r="BV23" s="73">
        <f t="shared" si="23"/>
        <v>1.2249589898922275</v>
      </c>
      <c r="BW23" s="73">
        <f t="shared" si="23"/>
        <v>1.3098665139452046</v>
      </c>
      <c r="BX23" s="73">
        <f t="shared" si="23"/>
        <v>1.0806253098019187</v>
      </c>
      <c r="BY23" s="73">
        <f t="shared" si="23"/>
        <v>1.0672852414883445</v>
      </c>
      <c r="BZ23" s="73">
        <f t="shared" si="23"/>
        <v>0.94215431701556462</v>
      </c>
      <c r="CA23" s="73">
        <f t="shared" si="23"/>
        <v>0.79810887340874104</v>
      </c>
      <c r="CB23" s="73">
        <f t="shared" si="23"/>
        <v>0.71518682184990012</v>
      </c>
      <c r="CC23" s="73">
        <f t="shared" si="23"/>
        <v>0.52019473874060151</v>
      </c>
      <c r="CD23" s="73">
        <f t="shared" si="23"/>
        <v>0.60754874197980491</v>
      </c>
      <c r="CE23" s="73">
        <f t="shared" si="23"/>
        <v>0.69572551328429777</v>
      </c>
      <c r="CF23" s="73">
        <f t="shared" si="23"/>
        <v>0.71107955376716048</v>
      </c>
      <c r="CG23" s="73">
        <f t="shared" si="23"/>
        <v>0.93043466164592026</v>
      </c>
      <c r="CH23" s="73">
        <f t="shared" si="23"/>
        <v>1.0322017549899252</v>
      </c>
      <c r="CI23" s="73">
        <f t="shared" si="23"/>
        <v>0.92913040607172248</v>
      </c>
      <c r="CJ23" s="73">
        <f t="shared" si="23"/>
        <v>1.3687027744001152</v>
      </c>
      <c r="CK23" s="73">
        <f t="shared" si="23"/>
        <v>1.3572578818090029</v>
      </c>
      <c r="CL23" s="73">
        <f t="shared" si="23"/>
        <v>1.6514065534544873</v>
      </c>
      <c r="CM23" s="73">
        <f t="shared" si="23"/>
        <v>1.9028749469183144</v>
      </c>
      <c r="CN23" s="73">
        <f t="shared" si="23"/>
        <v>1.972237447772238</v>
      </c>
      <c r="CO23" s="73">
        <f t="shared" si="23"/>
        <v>2.1736405498476614</v>
      </c>
      <c r="CP23" s="73">
        <f t="shared" si="23"/>
        <v>2.6401909829766579</v>
      </c>
      <c r="CQ23" s="73">
        <f t="shared" si="23"/>
        <v>3.1125401658042544</v>
      </c>
      <c r="CR23" s="73">
        <f t="shared" si="23"/>
        <v>4.1751284972693874</v>
      </c>
      <c r="CS23" s="73">
        <f t="shared" si="23"/>
        <v>4.5031605385564948</v>
      </c>
      <c r="CT23" s="73">
        <f t="shared" si="23"/>
        <v>5.6723552009792089</v>
      </c>
      <c r="CU23" s="73">
        <f t="shared" si="23"/>
        <v>6.131987861549038</v>
      </c>
      <c r="CV23" s="73">
        <f t="shared" si="23"/>
        <v>5.2283991332766924</v>
      </c>
      <c r="CW23" s="73">
        <f t="shared" si="23"/>
        <v>5.7482727354729208</v>
      </c>
      <c r="CX23" s="73">
        <f t="shared" si="23"/>
        <v>6.7368484452782882</v>
      </c>
      <c r="CY23" s="73">
        <f t="shared" si="23"/>
        <v>7.1820264488874521</v>
      </c>
      <c r="CZ23" s="73">
        <f t="shared" si="23"/>
        <v>9.0373158155005964</v>
      </c>
      <c r="DA23" s="73">
        <f t="shared" si="23"/>
        <v>5.8029638897851719</v>
      </c>
      <c r="DB23" s="73">
        <f t="shared" si="23"/>
        <v>6.193187565113174</v>
      </c>
      <c r="DC23" s="73">
        <f t="shared" si="23"/>
        <v>6.8859626633510791</v>
      </c>
      <c r="DD23" s="73">
        <f t="shared" si="23"/>
        <v>7.2352395030608543</v>
      </c>
      <c r="DE23" s="73">
        <f t="shared" si="23"/>
        <v>7.6482044323179377</v>
      </c>
      <c r="DF23" s="73">
        <f t="shared" si="23"/>
        <v>6.1184760728977592</v>
      </c>
      <c r="DG23" s="73">
        <f t="shared" si="23"/>
        <v>5.9388002708573273</v>
      </c>
      <c r="DH23" s="73">
        <f t="shared" si="23"/>
        <v>7.0318072356054913</v>
      </c>
      <c r="DI23" s="73">
        <f t="shared" si="23"/>
        <v>7.6364629579765628</v>
      </c>
      <c r="DJ23" s="73">
        <f t="shared" si="23"/>
        <v>5.2416948861888901</v>
      </c>
      <c r="DK23" s="73">
        <f t="shared" si="23"/>
        <v>6.2752557088621144</v>
      </c>
      <c r="DL23" s="178" t="e">
        <f>SQRT(#REF!*DL21-(#REF!^2*DL20^2))</f>
        <v>#REF!</v>
      </c>
      <c r="DM23" s="178" t="e">
        <f>SQRT(#REF!*DM21-(#REF!^2*DM20^2))</f>
        <v>#REF!</v>
      </c>
      <c r="DN23" s="178" t="e">
        <f>SQRT(#REF!*DN21-(#REF!^2*DN20^2))</f>
        <v>#REF!</v>
      </c>
      <c r="DO23" s="178" t="e">
        <f>SQRT(#REF!*DO21-(#REF!^2*DO20^2))</f>
        <v>#REF!</v>
      </c>
      <c r="DP23" s="178" t="e">
        <f>SQRT(#REF!*DP21-(#REF!^2*DP20^2))</f>
        <v>#REF!</v>
      </c>
      <c r="DQ23" s="178" t="e">
        <f>SQRT(#REF!*DQ21-(#REF!^2*DQ20^2))</f>
        <v>#REF!</v>
      </c>
      <c r="DR23" s="178" t="e">
        <f>SQRT(#REF!*DR21-(#REF!^2*DR20^2))</f>
        <v>#REF!</v>
      </c>
      <c r="DS23" s="178" t="e">
        <f>SQRT(#REF!*DS21-(#REF!^2*DS20^2))</f>
        <v>#REF!</v>
      </c>
      <c r="DT23" s="178" t="e">
        <f>SQRT(#REF!*DT21-(#REF!^2*DT20^2))</f>
        <v>#REF!</v>
      </c>
      <c r="DU23" s="178" t="e">
        <f>SQRT(#REF!*DU21-(#REF!^2*DU20^2))</f>
        <v>#REF!</v>
      </c>
      <c r="DV23" s="148" t="e">
        <f>SQRT(#REF!*DV21-(#REF!^2*DV20^2))</f>
        <v>#REF!</v>
      </c>
    </row>
    <row r="24" spans="1:126" ht="14.25" customHeight="1">
      <c r="A24" s="113"/>
      <c r="E24" s="118"/>
      <c r="I24" s="93"/>
      <c r="J24" s="305">
        <f t="array" ref="J24">_xlfn.STDEV.P(IF($E$5:$E$14=$E23,J$5:J$14))</f>
        <v>1.6636571467825989</v>
      </c>
      <c r="K24" s="305"/>
      <c r="L24" s="305"/>
      <c r="M24" s="305">
        <f t="array" ref="M24">_xlfn.STDEV.P(IF($E$5:$E$14=$E23,M$5:M$14))</f>
        <v>17.232934518485127</v>
      </c>
      <c r="N24" s="305">
        <f t="array" ref="N24">_xlfn.STDEV.P(IF($E$5:$E$14=$E23,N$5:N$14))</f>
        <v>172.32934518485268</v>
      </c>
      <c r="O24" s="305">
        <f t="array" ref="O24">_xlfn.STDEV.P(IF($E$5:$E$14=$E23,O$5:O$14))</f>
        <v>9.4375325950083706</v>
      </c>
      <c r="P24" s="305">
        <f t="array" ref="P24">_xlfn.STDEV.P(IF($E$5:$E$14=$E23,P$5:P$14))</f>
        <v>174.86554601657087</v>
      </c>
      <c r="Q24" s="305">
        <f t="array" ref="Q24">_xlfn.STDEV.P(IF($E$5:$E$14=$E23,Q$5:Q$14))</f>
        <v>0.65356262116538255</v>
      </c>
      <c r="R24" s="305">
        <f t="array" ref="R24">_xlfn.STDEV.P(IF($E$5:$E$14=$E23,R$5:R$14))</f>
        <v>6.5356262116538277E-2</v>
      </c>
      <c r="S24" s="303"/>
      <c r="T24" s="303">
        <f t="array" ref="T24">_xlfn.STDEV.P(IF($E$5:$E$14=$E23,T$5:T$14))</f>
        <v>0</v>
      </c>
      <c r="U24" s="305">
        <f t="array" ref="U24">_xlfn.STDEV.P(IF($E$5:$E$14=$E23,U$5:U$14))</f>
        <v>0</v>
      </c>
      <c r="V24" s="72" t="s">
        <v>11</v>
      </c>
      <c r="W24" s="81">
        <f t="array" ref="W24">_xlfn.STDEV.P(IF($E$5:$E$14=$E23,W$5:W$14))</f>
        <v>18.019464426915704</v>
      </c>
      <c r="X24" s="81">
        <f t="array" ref="X24">_xlfn.STDEV.P(IF($E$5:$E$14=$E23,X$5:X$14))</f>
        <v>17.232934518485127</v>
      </c>
      <c r="Y24" s="81">
        <f t="array" ref="Y24">_xlfn.STDEV.P(IF($E$5:$E$14=$E23,Y$5:Y$14))</f>
        <v>22.360574194791575</v>
      </c>
      <c r="Z24" s="81">
        <f t="array" ref="Z24">_xlfn.STDEV.P(IF($E$5:$E$14=$E23,Z$5:Z$14))</f>
        <v>27.991206857035873</v>
      </c>
      <c r="AA24" s="81">
        <f t="array" ref="AA24">_xlfn.STDEV.P(IF($E$5:$E$14=$E23,AA$5:AA$14))</f>
        <v>19.150822282424226</v>
      </c>
      <c r="AB24" s="81">
        <f t="array" ref="AB24">_xlfn.STDEV.P(IF($E$5:$E$14=$E23,AB$5:AB$14))</f>
        <v>18.666911896593</v>
      </c>
      <c r="AC24" s="81">
        <f t="array" ref="AC24">_xlfn.STDEV.P(IF($E$5:$E$14=$E23,AC$5:AC$14))</f>
        <v>20.788755379010244</v>
      </c>
      <c r="AD24" s="81">
        <f t="array" ref="AD24">_xlfn.STDEV.P(IF($E$5:$E$14=$E23,AD$5:AD$14))</f>
        <v>12.442267996184565</v>
      </c>
      <c r="AE24" s="81">
        <f t="array" ref="AE24">_xlfn.STDEV.P(IF($E$5:$E$14=$E23,AE$5:AE$14))</f>
        <v>21.487226138393893</v>
      </c>
      <c r="AF24" s="81">
        <f t="array" ref="AF24">_xlfn.STDEV.P(IF($E$5:$E$14=$E23,AF$5:AF$14))</f>
        <v>23.360042105435905</v>
      </c>
      <c r="AG24" s="81">
        <f t="array" ref="AG24">_xlfn.STDEV.P(IF($E$5:$E$14=$E23,AG$5:AG$14))</f>
        <v>24.467797226266562</v>
      </c>
      <c r="AH24" s="81">
        <f t="array" ref="AH24">_xlfn.STDEV.P(IF($E$5:$E$14=$E23,AH$5:AH$14))</f>
        <v>31.253667397877361</v>
      </c>
      <c r="AI24" s="81">
        <f t="array" ref="AI24">_xlfn.STDEV.P(IF($E$5:$E$14=$E23,AI$5:AI$14))</f>
        <v>32.093344536945452</v>
      </c>
      <c r="AJ24" s="81">
        <f t="array" ref="AJ24">_xlfn.STDEV.P(IF($E$5:$E$14=$E23,AJ$5:AJ$14))</f>
        <v>51.99284968657399</v>
      </c>
      <c r="AK24" s="81">
        <f t="array" ref="AK24">_xlfn.STDEV.P(IF($E$5:$E$14=$E23,AK$5:AK$14))</f>
        <v>55.605344605148389</v>
      </c>
      <c r="AL24" s="81">
        <f t="array" ref="AL24">_xlfn.STDEV.P(IF($E$5:$E$14=$E23,AL$5:AL$14))</f>
        <v>55.317483997706709</v>
      </c>
      <c r="AM24" s="81">
        <f t="array" ref="AM24">_xlfn.STDEV.P(IF($E$5:$E$14=$E23,AM$5:AM$14))</f>
        <v>81.373893241112242</v>
      </c>
      <c r="AN24" s="81">
        <f t="array" ref="AN24">_xlfn.STDEV.P(IF($E$5:$E$14=$E23,AN$5:AN$14))</f>
        <v>74.53574225589027</v>
      </c>
      <c r="AO24" s="81">
        <f t="array" ref="AO24">_xlfn.STDEV.P(IF($E$5:$E$14=$E23,AO$5:AO$14))</f>
        <v>111.47911202480466</v>
      </c>
      <c r="AP24" s="81">
        <f t="array" ref="AP24">_xlfn.STDEV.P(IF($E$5:$E$14=$E23,AP$5:AP$14))</f>
        <v>102.91295067071211</v>
      </c>
      <c r="AQ24" s="81">
        <f t="array" ref="AQ24">_xlfn.STDEV.P(IF($E$5:$E$14=$E23,AQ$5:AQ$14))</f>
        <v>158.7000452324329</v>
      </c>
      <c r="AR24" s="81">
        <f t="array" ref="AR24">_xlfn.STDEV.P(IF($E$5:$E$14=$E23,AR$5:AR$14))</f>
        <v>184.40425291124384</v>
      </c>
      <c r="AS24" s="81">
        <f t="array" ref="AS24">_xlfn.STDEV.P(IF($E$5:$E$14=$E23,AS$5:AS$14))</f>
        <v>147.04204275788956</v>
      </c>
      <c r="AT24" s="81">
        <f t="array" ref="AT24">_xlfn.STDEV.P(IF($E$5:$E$14=$E23,AT$5:AT$14))</f>
        <v>161.1287850130733</v>
      </c>
      <c r="AU24" s="81">
        <f t="array" ref="AU24">_xlfn.STDEV.P(IF($E$5:$E$14=$E23,AU$5:AU$14))</f>
        <v>198.41948888850641</v>
      </c>
      <c r="AV24" s="81">
        <f t="array" ref="AV24">_xlfn.STDEV.P(IF($E$5:$E$14=$E23,AV$5:AV$14))</f>
        <v>309.5935462964876</v>
      </c>
      <c r="AW24" s="81">
        <f t="array" ref="AW24">_xlfn.STDEV.P(IF($E$5:$E$14=$E23,AW$5:AW$14))</f>
        <v>451.87097199095513</v>
      </c>
      <c r="AX24" s="81">
        <f t="array" ref="AX24">_xlfn.STDEV.P(IF($E$5:$E$14=$E23,AX$5:AX$14))</f>
        <v>402.43893405210792</v>
      </c>
      <c r="AY24" s="81">
        <f t="array" ref="AY24">_xlfn.STDEV.P(IF($E$5:$E$14=$E23,AY$5:AY$14))</f>
        <v>490.84779174147582</v>
      </c>
      <c r="AZ24" s="81">
        <f t="array" ref="AZ24">_xlfn.STDEV.P(IF($E$5:$E$14=$E23,AZ$5:AZ$14))</f>
        <v>548.788597886817</v>
      </c>
      <c r="BA24" s="81">
        <f t="array" ref="BA24">_xlfn.STDEV.P(IF($E$5:$E$14=$E23,BA$5:BA$14))</f>
        <v>432.19692880357564</v>
      </c>
      <c r="BB24" s="81">
        <f t="array" ref="BB24">_xlfn.STDEV.P(IF($E$5:$E$14=$E23,BB$5:BB$14))</f>
        <v>498.03388936262917</v>
      </c>
      <c r="BC24" s="81">
        <f t="array" ref="BC24">_xlfn.STDEV.P(IF($E$5:$E$14=$E23,BC$5:BC$14))</f>
        <v>603.59468089694838</v>
      </c>
      <c r="BD24" s="81">
        <f t="array" ref="BD24">_xlfn.STDEV.P(IF($E$5:$E$14=$E23,BD$5:BD$14))</f>
        <v>589.78598265054131</v>
      </c>
      <c r="BE24" s="81">
        <f t="array" ref="BE24">_xlfn.STDEV.P(IF($E$5:$E$14=$E23,BE$5:BE$14))</f>
        <v>743.9892258038999</v>
      </c>
      <c r="BF24" s="81">
        <f t="array" ref="BF24">_xlfn.STDEV.P(IF($E$5:$E$14=$E23,BF$5:BF$14))</f>
        <v>531.11742674698507</v>
      </c>
      <c r="BG24" s="81">
        <f t="array" ref="BG24">_xlfn.STDEV.P(IF($E$5:$E$14=$E23,BG$5:BG$14))</f>
        <v>520.45026128072357</v>
      </c>
      <c r="BH24" s="81">
        <f t="array" ref="BH24">_xlfn.STDEV.P(IF($E$5:$E$14=$E23,BH$5:BH$14))</f>
        <v>573.68308419086588</v>
      </c>
      <c r="BI24" s="81">
        <f t="array" ref="BI24">_xlfn.STDEV.P(IF($E$5:$E$14=$E23,BI$5:BI$14))</f>
        <v>577.13884462275792</v>
      </c>
      <c r="BJ24" s="81">
        <f t="array" ref="BJ24">_xlfn.STDEV.P(IF($E$5:$E$14=$E23,BJ$5:BJ$14))</f>
        <v>623.54618131530412</v>
      </c>
      <c r="BK24" s="81">
        <f t="array" ref="BK24">_xlfn.STDEV.P(IF($E$5:$E$14=$E23,BK$5:BK$14))</f>
        <v>508.06736309658862</v>
      </c>
      <c r="BL24" s="81">
        <f t="array" ref="BL24">_xlfn.STDEV.P(IF($E$5:$E$14=$E23,BL$5:BL$14))</f>
        <v>490.71750932892303</v>
      </c>
      <c r="BM24" s="81">
        <f t="array" ref="BM24">_xlfn.STDEV.P(IF($E$5:$E$14=$E23,BM$5:BM$14))</f>
        <v>531.53975777689755</v>
      </c>
      <c r="BN24" s="81">
        <f t="array" ref="BN24">_xlfn.STDEV.P(IF($E$5:$E$14=$E23,BN$5:BN$14))</f>
        <v>591.56631222351496</v>
      </c>
      <c r="BO24" s="81">
        <f t="array" ref="BO24">_xlfn.STDEV.P(IF($E$5:$E$14=$E23,BO$5:BO$14))</f>
        <v>234.0193027460152</v>
      </c>
      <c r="BP24" s="81">
        <f t="array" ref="BP24">_xlfn.STDEV.P(IF($E$5:$E$14=$E23,BP$5:BP$14))</f>
        <v>275.2675745171062</v>
      </c>
      <c r="BQ24" s="104" t="s">
        <v>11</v>
      </c>
      <c r="BR24" s="74">
        <f t="array" ref="BR24">_xlfn.STDEV.P(IF($E$5:$E$14=$E23,BR$5:BR$14))</f>
        <v>0.25663920728979883</v>
      </c>
      <c r="BS24" s="74">
        <f t="array" ref="BS24">_xlfn.STDEV.P(IF($E$5:$E$14=$E23,BS$5:BS$14))</f>
        <v>0</v>
      </c>
      <c r="BT24" s="74">
        <f t="array" ref="BT24">_xlfn.STDEV.P(IF($E$5:$E$14=$E23,BT$5:BT$14))</f>
        <v>0.23871184228825806</v>
      </c>
      <c r="BU24" s="74">
        <f t="array" ref="BU24">_xlfn.STDEV.P(IF($E$5:$E$14=$E23,BU$5:BU$14))</f>
        <v>0.25192047581355836</v>
      </c>
      <c r="BV24" s="74">
        <f t="array" ref="BV24">_xlfn.STDEV.P(IF($E$5:$E$14=$E23,BV$5:BV$14))</f>
        <v>0.18071852669273572</v>
      </c>
      <c r="BW24" s="74">
        <f t="array" ref="BW24">_xlfn.STDEV.P(IF($E$5:$E$14=$E23,BW$5:BW$14))</f>
        <v>0.20141792678746845</v>
      </c>
      <c r="BX24" s="74">
        <f t="array" ref="BX24">_xlfn.STDEV.P(IF($E$5:$E$14=$E23,BX$5:BX$14))</f>
        <v>0.17134901803527147</v>
      </c>
      <c r="BY24" s="74">
        <f t="array" ref="BY24">_xlfn.STDEV.P(IF($E$5:$E$14=$E23,BY$5:BY$14))</f>
        <v>0.21134662094528095</v>
      </c>
      <c r="BZ24" s="74">
        <f t="array" ref="BZ24">_xlfn.STDEV.P(IF($E$5:$E$14=$E23,BZ$5:BZ$14))</f>
        <v>0.10531648507147803</v>
      </c>
      <c r="CA24" s="74">
        <f t="array" ref="CA24">_xlfn.STDEV.P(IF($E$5:$E$14=$E23,CA$5:CA$14))</f>
        <v>0.12793653610814665</v>
      </c>
      <c r="CB24" s="74">
        <f t="array" ref="CB24">_xlfn.STDEV.P(IF($E$5:$E$14=$E23,CB$5:CB$14))</f>
        <v>0.18191848548120848</v>
      </c>
      <c r="CC24" s="74">
        <f t="array" ref="CC24">_xlfn.STDEV.P(IF($E$5:$E$14=$E23,CC$5:CC$14))</f>
        <v>0.23407167130590201</v>
      </c>
      <c r="CD24" s="74">
        <f t="array" ref="CD24">_xlfn.STDEV.P(IF($E$5:$E$14=$E23,CD$5:CD$14))</f>
        <v>0.2659633027168033</v>
      </c>
      <c r="CE24" s="74">
        <f t="array" ref="CE24">_xlfn.STDEV.P(IF($E$5:$E$14=$E23,CE$5:CE$14))</f>
        <v>0.53560370886083819</v>
      </c>
      <c r="CF24" s="74">
        <f t="array" ref="CF24">_xlfn.STDEV.P(IF($E$5:$E$14=$E23,CF$5:CF$14))</f>
        <v>0.58818341100821303</v>
      </c>
      <c r="CG24" s="74">
        <f t="array" ref="CG24">_xlfn.STDEV.P(IF($E$5:$E$14=$E23,CG$5:CG$14))</f>
        <v>0.55333261697031821</v>
      </c>
      <c r="CH24" s="74">
        <f t="array" ref="CH24">_xlfn.STDEV.P(IF($E$5:$E$14=$E23,CH$5:CH$14))</f>
        <v>0.84350853758900635</v>
      </c>
      <c r="CI24" s="74">
        <f t="array" ref="CI24">_xlfn.STDEV.P(IF($E$5:$E$14=$E23,CI$5:CI$14))</f>
        <v>0.80670123932647553</v>
      </c>
      <c r="CJ24" s="74">
        <f t="array" ref="CJ24">_xlfn.STDEV.P(IF($E$5:$E$14=$E23,CJ$5:CJ$14))</f>
        <v>1.1333926546089297</v>
      </c>
      <c r="CK24" s="74">
        <f t="array" ref="CK24">_xlfn.STDEV.P(IF($E$5:$E$14=$E23,CK$5:CK$14))</f>
        <v>1.0246244682563133</v>
      </c>
      <c r="CL24" s="74">
        <f t="array" ref="CL24">_xlfn.STDEV.P(IF($E$5:$E$14=$E23,CL$5:CL$14))</f>
        <v>1.7130810915766457</v>
      </c>
      <c r="CM24" s="74">
        <f t="array" ref="CM24">_xlfn.STDEV.P(IF($E$5:$E$14=$E23,CM$5:CM$14))</f>
        <v>1.9130521769334934</v>
      </c>
      <c r="CN24" s="74">
        <f t="array" ref="CN24">_xlfn.STDEV.P(IF($E$5:$E$14=$E23,CN$5:CN$14))</f>
        <v>1.4523542458517451</v>
      </c>
      <c r="CO24" s="74">
        <f t="array" ref="CO24">_xlfn.STDEV.P(IF($E$5:$E$14=$E23,CO$5:CO$14))</f>
        <v>1.5723330552568648</v>
      </c>
      <c r="CP24" s="74">
        <f t="array" ref="CP24">_xlfn.STDEV.P(IF($E$5:$E$14=$E23,CP$5:CP$14))</f>
        <v>2.1105125865145795</v>
      </c>
      <c r="CQ24" s="74">
        <f t="array" ref="CQ24">_xlfn.STDEV.P(IF($E$5:$E$14=$E23,CQ$5:CQ$14))</f>
        <v>3.2826433111852737</v>
      </c>
      <c r="CR24" s="74">
        <f t="array" ref="CR24">_xlfn.STDEV.P(IF($E$5:$E$14=$E23,CR$5:CR$14))</f>
        <v>4.9119331288155177</v>
      </c>
      <c r="CS24" s="74">
        <f t="array" ref="CS24">_xlfn.STDEV.P(IF($E$5:$E$14=$E23,CS$5:CS$14))</f>
        <v>4.3096149256483631</v>
      </c>
      <c r="CT24" s="74">
        <f t="array" ref="CT24">_xlfn.STDEV.P(IF($E$5:$E$14=$E23,CT$5:CT$14))</f>
        <v>5.0807733435795424</v>
      </c>
      <c r="CU24" s="74">
        <f t="array" ref="CU24">_xlfn.STDEV.P(IF($E$5:$E$14=$E23,CU$5:CU$14))</f>
        <v>5.9240463257482361</v>
      </c>
      <c r="CV24" s="74">
        <f t="array" ref="CV24">_xlfn.STDEV.P(IF($E$5:$E$14=$E23,CV$5:CV$14))</f>
        <v>3.6743955926986294</v>
      </c>
      <c r="CW24" s="74">
        <f t="array" ref="CW24">_xlfn.STDEV.P(IF($E$5:$E$14=$E23,CW$5:CW$14))</f>
        <v>4.1114843311364417</v>
      </c>
      <c r="CX24" s="74">
        <f t="array" ref="CX24">_xlfn.STDEV.P(IF($E$5:$E$14=$E23,CX$5:CX$14))</f>
        <v>4.9251989048012179</v>
      </c>
      <c r="CY24" s="74">
        <f t="array" ref="CY24">_xlfn.STDEV.P(IF($E$5:$E$14=$E23,CY$5:CY$14))</f>
        <v>4.5875212530847005</v>
      </c>
      <c r="CZ24" s="74">
        <f t="array" ref="CZ24">_xlfn.STDEV.P(IF($E$5:$E$14=$E23,CZ$5:CZ$14))</f>
        <v>6.2005762960180801</v>
      </c>
      <c r="DA24" s="74">
        <f t="array" ref="DA24">_xlfn.STDEV.P(IF($E$5:$E$14=$E23,DA$5:DA$14))</f>
        <v>4.9800550601185734</v>
      </c>
      <c r="DB24" s="74">
        <f t="array" ref="DB24">_xlfn.STDEV.P(IF($E$5:$E$14=$E23,DB$5:DB$14))</f>
        <v>4.6127734157448943</v>
      </c>
      <c r="DC24" s="74">
        <f t="array" ref="DC24">_xlfn.STDEV.P(IF($E$5:$E$14=$E23,DC$5:DC$14))</f>
        <v>4.9245611719766522</v>
      </c>
      <c r="DD24" s="74">
        <f t="array" ref="DD24">_xlfn.STDEV.P(IF($E$5:$E$14=$E23,DD$5:DD$14))</f>
        <v>4.9794138691822756</v>
      </c>
      <c r="DE24" s="74">
        <f t="array" ref="DE24">_xlfn.STDEV.P(IF($E$5:$E$14=$E23,DE$5:DE$14))</f>
        <v>5.3302145048645846</v>
      </c>
      <c r="DF24" s="74">
        <f t="array" ref="DF24">_xlfn.STDEV.P(IF($E$5:$E$14=$E23,DF$5:DF$14))</f>
        <v>4.6709213145764661</v>
      </c>
      <c r="DG24" s="74">
        <f t="array" ref="DG24">_xlfn.STDEV.P(IF($E$5:$E$14=$E23,DG$5:DG$14))</f>
        <v>4.4691939397828211</v>
      </c>
      <c r="DH24" s="74">
        <f t="array" ref="DH24">_xlfn.STDEV.P(IF($E$5:$E$14=$E23,DH$5:DH$14))</f>
        <v>4.640048583507423</v>
      </c>
      <c r="DI24" s="74">
        <f t="array" ref="DI24">_xlfn.STDEV.P(IF($E$5:$E$14=$E23,DI$5:DI$14))</f>
        <v>5.1893486004330187</v>
      </c>
      <c r="DJ24" s="74">
        <f t="array" ref="DJ24">_xlfn.STDEV.P(IF($E$5:$E$14=$E23,DJ$5:DJ$14))</f>
        <v>3.2895851138111092</v>
      </c>
      <c r="DK24" s="74">
        <f t="array" ref="DK24">_xlfn.STDEV.P(IF($E$5:$E$14=$E23,DK$5:DK$14))</f>
        <v>3.6255776244712181</v>
      </c>
      <c r="DL24" s="177"/>
      <c r="DM24" s="177"/>
      <c r="DN24" s="177"/>
      <c r="DO24" s="177"/>
      <c r="DP24" s="177"/>
      <c r="DQ24" s="177"/>
      <c r="DR24" s="177"/>
      <c r="DS24" s="177"/>
      <c r="DT24" s="177"/>
      <c r="DU24" s="177"/>
    </row>
    <row r="25" spans="1:126" s="162" customFormat="1" ht="14.25" customHeight="1">
      <c r="A25" s="158"/>
      <c r="B25" s="159"/>
      <c r="C25" s="160"/>
      <c r="D25" s="181"/>
      <c r="E25" s="161"/>
      <c r="G25" s="159"/>
      <c r="H25" s="159"/>
      <c r="I25" s="163"/>
      <c r="J25" s="306"/>
      <c r="K25" s="306"/>
      <c r="L25" s="306"/>
      <c r="M25" s="306"/>
      <c r="N25" s="306"/>
      <c r="O25" s="306"/>
      <c r="P25" s="306"/>
      <c r="Q25" s="306"/>
      <c r="R25" s="306"/>
      <c r="S25" s="303"/>
      <c r="T25" s="303"/>
      <c r="U25" s="306"/>
      <c r="V25" s="307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156"/>
      <c r="BR25" s="157"/>
      <c r="BS25" s="157"/>
      <c r="BT25" s="157"/>
      <c r="BU25" s="157"/>
      <c r="BV25" s="157"/>
      <c r="BW25" s="157"/>
      <c r="BX25" s="157"/>
      <c r="BY25" s="157"/>
      <c r="BZ25" s="157"/>
      <c r="CA25" s="157"/>
      <c r="CB25" s="157"/>
      <c r="CC25" s="157"/>
      <c r="CD25" s="157"/>
      <c r="CE25" s="157"/>
      <c r="CF25" s="157"/>
      <c r="CG25" s="157"/>
      <c r="CH25" s="157"/>
      <c r="CI25" s="157"/>
      <c r="CJ25" s="157"/>
      <c r="CK25" s="157"/>
      <c r="CL25" s="157"/>
      <c r="CM25" s="157"/>
      <c r="CN25" s="157"/>
      <c r="CO25" s="157"/>
      <c r="CP25" s="157"/>
      <c r="CQ25" s="157"/>
      <c r="CR25" s="157"/>
      <c r="CS25" s="157"/>
      <c r="CT25" s="157"/>
      <c r="CU25" s="157"/>
      <c r="CV25" s="157"/>
      <c r="CW25" s="157"/>
      <c r="CX25" s="157"/>
      <c r="CY25" s="157"/>
      <c r="CZ25" s="157"/>
      <c r="DA25" s="157"/>
      <c r="DB25" s="157"/>
      <c r="DC25" s="157"/>
      <c r="DD25" s="157"/>
      <c r="DE25" s="157"/>
      <c r="DF25" s="157"/>
      <c r="DG25" s="157"/>
      <c r="DH25" s="157"/>
      <c r="DI25" s="157"/>
      <c r="DJ25" s="157"/>
      <c r="DK25" s="157"/>
      <c r="DL25" s="177"/>
      <c r="DM25" s="177"/>
      <c r="DN25" s="177"/>
      <c r="DO25" s="177"/>
      <c r="DP25" s="177"/>
      <c r="DQ25" s="177"/>
      <c r="DR25" s="177"/>
      <c r="DS25" s="177"/>
      <c r="DT25" s="177"/>
      <c r="DU25" s="177"/>
    </row>
    <row r="26" spans="1:126" ht="15">
      <c r="A26" s="113"/>
      <c r="E26" s="52"/>
      <c r="I26" s="52"/>
      <c r="K26" s="57"/>
      <c r="L26" s="57"/>
      <c r="Q26" s="57"/>
      <c r="R26" s="57"/>
      <c r="U26" s="57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</row>
    <row r="27" spans="1:126" ht="14.25" customHeight="1">
      <c r="A27" s="113"/>
      <c r="E27" s="118" t="e">
        <f>'AsPc1 REPEAT Groups'!#REF!</f>
        <v>#REF!</v>
      </c>
      <c r="I27" s="118" t="e">
        <f>E27</f>
        <v>#REF!</v>
      </c>
      <c r="J27" s="305" t="e">
        <f>AVERAGEIF($E$5:$E$14,$E27,J$5:J$14)</f>
        <v>#DIV/0!</v>
      </c>
      <c r="K27" s="305"/>
      <c r="L27" s="305"/>
      <c r="M27" s="305" t="e">
        <f t="shared" ref="M27:R27" si="24">AVERAGEIF($E$5:$E$14,$E27,M$5:M$14)</f>
        <v>#DIV/0!</v>
      </c>
      <c r="N27" s="305" t="e">
        <f t="shared" si="24"/>
        <v>#DIV/0!</v>
      </c>
      <c r="O27" s="305" t="e">
        <f t="shared" si="24"/>
        <v>#DIV/0!</v>
      </c>
      <c r="P27" s="305" t="e">
        <f t="shared" si="24"/>
        <v>#DIV/0!</v>
      </c>
      <c r="Q27" s="305" t="e">
        <f t="shared" si="24"/>
        <v>#DIV/0!</v>
      </c>
      <c r="R27" s="305" t="e">
        <f t="shared" si="24"/>
        <v>#DIV/0!</v>
      </c>
      <c r="S27" s="303"/>
      <c r="T27" s="303" t="e">
        <f>AVERAGEIF($E$5:$E$14,$E27,T$5:T$14)</f>
        <v>#DIV/0!</v>
      </c>
      <c r="U27" s="305" t="e">
        <f>AVERAGEIF($E$5:$E$14,$E27,U$5:U$14)</f>
        <v>#DIV/0!</v>
      </c>
      <c r="V27" s="72" t="s">
        <v>9</v>
      </c>
      <c r="W27" s="78" t="e">
        <f t="shared" ref="W27:BP27" si="25">AVERAGEIF($E$5:$E$14,$E27,W$5:W$14)</f>
        <v>#DIV/0!</v>
      </c>
      <c r="X27" s="78" t="e">
        <f t="shared" si="25"/>
        <v>#DIV/0!</v>
      </c>
      <c r="Y27" s="78" t="e">
        <f t="shared" si="25"/>
        <v>#DIV/0!</v>
      </c>
      <c r="Z27" s="78" t="e">
        <f t="shared" si="25"/>
        <v>#DIV/0!</v>
      </c>
      <c r="AA27" s="78" t="e">
        <f t="shared" si="25"/>
        <v>#DIV/0!</v>
      </c>
      <c r="AB27" s="78" t="e">
        <f t="shared" si="25"/>
        <v>#DIV/0!</v>
      </c>
      <c r="AC27" s="78" t="e">
        <f t="shared" si="25"/>
        <v>#DIV/0!</v>
      </c>
      <c r="AD27" s="78" t="e">
        <f t="shared" si="25"/>
        <v>#DIV/0!</v>
      </c>
      <c r="AE27" s="78" t="e">
        <f t="shared" si="25"/>
        <v>#DIV/0!</v>
      </c>
      <c r="AF27" s="78" t="e">
        <f t="shared" si="25"/>
        <v>#DIV/0!</v>
      </c>
      <c r="AG27" s="78" t="e">
        <f t="shared" si="25"/>
        <v>#DIV/0!</v>
      </c>
      <c r="AH27" s="78" t="e">
        <f t="shared" si="25"/>
        <v>#DIV/0!</v>
      </c>
      <c r="AI27" s="78" t="e">
        <f t="shared" si="25"/>
        <v>#DIV/0!</v>
      </c>
      <c r="AJ27" s="78" t="e">
        <f t="shared" si="25"/>
        <v>#DIV/0!</v>
      </c>
      <c r="AK27" s="78" t="e">
        <f t="shared" si="25"/>
        <v>#DIV/0!</v>
      </c>
      <c r="AL27" s="78" t="e">
        <f t="shared" si="25"/>
        <v>#DIV/0!</v>
      </c>
      <c r="AM27" s="78" t="e">
        <f t="shared" si="25"/>
        <v>#DIV/0!</v>
      </c>
      <c r="AN27" s="78" t="e">
        <f t="shared" si="25"/>
        <v>#DIV/0!</v>
      </c>
      <c r="AO27" s="78" t="e">
        <f t="shared" si="25"/>
        <v>#DIV/0!</v>
      </c>
      <c r="AP27" s="78" t="e">
        <f t="shared" si="25"/>
        <v>#DIV/0!</v>
      </c>
      <c r="AQ27" s="78" t="e">
        <f t="shared" si="25"/>
        <v>#DIV/0!</v>
      </c>
      <c r="AR27" s="78" t="e">
        <f t="shared" si="25"/>
        <v>#DIV/0!</v>
      </c>
      <c r="AS27" s="78" t="e">
        <f t="shared" si="25"/>
        <v>#DIV/0!</v>
      </c>
      <c r="AT27" s="78" t="e">
        <f t="shared" si="25"/>
        <v>#DIV/0!</v>
      </c>
      <c r="AU27" s="78" t="e">
        <f t="shared" si="25"/>
        <v>#DIV/0!</v>
      </c>
      <c r="AV27" s="78" t="e">
        <f t="shared" si="25"/>
        <v>#DIV/0!</v>
      </c>
      <c r="AW27" s="78" t="e">
        <f t="shared" si="25"/>
        <v>#DIV/0!</v>
      </c>
      <c r="AX27" s="78" t="e">
        <f t="shared" si="25"/>
        <v>#DIV/0!</v>
      </c>
      <c r="AY27" s="78" t="e">
        <f t="shared" si="25"/>
        <v>#DIV/0!</v>
      </c>
      <c r="AZ27" s="78" t="e">
        <f t="shared" si="25"/>
        <v>#DIV/0!</v>
      </c>
      <c r="BA27" s="78" t="e">
        <f t="shared" si="25"/>
        <v>#DIV/0!</v>
      </c>
      <c r="BB27" s="78" t="e">
        <f t="shared" si="25"/>
        <v>#DIV/0!</v>
      </c>
      <c r="BC27" s="78" t="e">
        <f t="shared" si="25"/>
        <v>#DIV/0!</v>
      </c>
      <c r="BD27" s="78" t="e">
        <f t="shared" si="25"/>
        <v>#DIV/0!</v>
      </c>
      <c r="BE27" s="78" t="e">
        <f t="shared" si="25"/>
        <v>#DIV/0!</v>
      </c>
      <c r="BF27" s="78" t="e">
        <f t="shared" si="25"/>
        <v>#DIV/0!</v>
      </c>
      <c r="BG27" s="78" t="e">
        <f t="shared" si="25"/>
        <v>#DIV/0!</v>
      </c>
      <c r="BH27" s="78" t="e">
        <f t="shared" si="25"/>
        <v>#DIV/0!</v>
      </c>
      <c r="BI27" s="78" t="e">
        <f t="shared" si="25"/>
        <v>#DIV/0!</v>
      </c>
      <c r="BJ27" s="78" t="e">
        <f t="shared" si="25"/>
        <v>#DIV/0!</v>
      </c>
      <c r="BK27" s="78" t="e">
        <f t="shared" si="25"/>
        <v>#DIV/0!</v>
      </c>
      <c r="BL27" s="78" t="e">
        <f t="shared" si="25"/>
        <v>#DIV/0!</v>
      </c>
      <c r="BM27" s="78" t="e">
        <f t="shared" si="25"/>
        <v>#DIV/0!</v>
      </c>
      <c r="BN27" s="78" t="e">
        <f t="shared" si="25"/>
        <v>#DIV/0!</v>
      </c>
      <c r="BO27" s="78" t="e">
        <f t="shared" si="25"/>
        <v>#DIV/0!</v>
      </c>
      <c r="BP27" s="78" t="e">
        <f t="shared" si="25"/>
        <v>#DIV/0!</v>
      </c>
      <c r="BQ27" s="103" t="s">
        <v>9</v>
      </c>
      <c r="BR27" s="73" t="e">
        <f t="shared" ref="BR27:DK27" si="26">AVERAGEIF($E$5:$E$14,$E27,BR$5:BR$14)</f>
        <v>#DIV/0!</v>
      </c>
      <c r="BS27" s="73" t="e">
        <f t="shared" si="26"/>
        <v>#DIV/0!</v>
      </c>
      <c r="BT27" s="73" t="e">
        <f t="shared" si="26"/>
        <v>#DIV/0!</v>
      </c>
      <c r="BU27" s="73" t="e">
        <f t="shared" si="26"/>
        <v>#DIV/0!</v>
      </c>
      <c r="BV27" s="73" t="e">
        <f t="shared" si="26"/>
        <v>#DIV/0!</v>
      </c>
      <c r="BW27" s="73" t="e">
        <f t="shared" si="26"/>
        <v>#DIV/0!</v>
      </c>
      <c r="BX27" s="73" t="e">
        <f t="shared" si="26"/>
        <v>#DIV/0!</v>
      </c>
      <c r="BY27" s="73" t="e">
        <f t="shared" si="26"/>
        <v>#DIV/0!</v>
      </c>
      <c r="BZ27" s="73" t="e">
        <f t="shared" si="26"/>
        <v>#DIV/0!</v>
      </c>
      <c r="CA27" s="73" t="e">
        <f t="shared" si="26"/>
        <v>#DIV/0!</v>
      </c>
      <c r="CB27" s="73" t="e">
        <f t="shared" si="26"/>
        <v>#DIV/0!</v>
      </c>
      <c r="CC27" s="73" t="e">
        <f t="shared" si="26"/>
        <v>#DIV/0!</v>
      </c>
      <c r="CD27" s="73" t="e">
        <f t="shared" si="26"/>
        <v>#DIV/0!</v>
      </c>
      <c r="CE27" s="73" t="e">
        <f t="shared" si="26"/>
        <v>#DIV/0!</v>
      </c>
      <c r="CF27" s="73" t="e">
        <f t="shared" si="26"/>
        <v>#DIV/0!</v>
      </c>
      <c r="CG27" s="73" t="e">
        <f t="shared" si="26"/>
        <v>#DIV/0!</v>
      </c>
      <c r="CH27" s="73" t="e">
        <f t="shared" si="26"/>
        <v>#DIV/0!</v>
      </c>
      <c r="CI27" s="73" t="e">
        <f t="shared" si="26"/>
        <v>#DIV/0!</v>
      </c>
      <c r="CJ27" s="73" t="e">
        <f t="shared" si="26"/>
        <v>#DIV/0!</v>
      </c>
      <c r="CK27" s="73" t="e">
        <f t="shared" si="26"/>
        <v>#DIV/0!</v>
      </c>
      <c r="CL27" s="73" t="e">
        <f t="shared" si="26"/>
        <v>#DIV/0!</v>
      </c>
      <c r="CM27" s="73" t="e">
        <f t="shared" si="26"/>
        <v>#DIV/0!</v>
      </c>
      <c r="CN27" s="73" t="e">
        <f t="shared" si="26"/>
        <v>#DIV/0!</v>
      </c>
      <c r="CO27" s="73" t="e">
        <f t="shared" si="26"/>
        <v>#DIV/0!</v>
      </c>
      <c r="CP27" s="73" t="e">
        <f t="shared" si="26"/>
        <v>#DIV/0!</v>
      </c>
      <c r="CQ27" s="73" t="e">
        <f t="shared" si="26"/>
        <v>#DIV/0!</v>
      </c>
      <c r="CR27" s="73" t="e">
        <f t="shared" si="26"/>
        <v>#DIV/0!</v>
      </c>
      <c r="CS27" s="73" t="e">
        <f t="shared" si="26"/>
        <v>#DIV/0!</v>
      </c>
      <c r="CT27" s="73" t="e">
        <f t="shared" si="26"/>
        <v>#DIV/0!</v>
      </c>
      <c r="CU27" s="73" t="e">
        <f t="shared" si="26"/>
        <v>#DIV/0!</v>
      </c>
      <c r="CV27" s="73" t="e">
        <f t="shared" si="26"/>
        <v>#DIV/0!</v>
      </c>
      <c r="CW27" s="73" t="e">
        <f t="shared" si="26"/>
        <v>#DIV/0!</v>
      </c>
      <c r="CX27" s="73" t="e">
        <f t="shared" si="26"/>
        <v>#DIV/0!</v>
      </c>
      <c r="CY27" s="73" t="e">
        <f t="shared" si="26"/>
        <v>#DIV/0!</v>
      </c>
      <c r="CZ27" s="73" t="e">
        <f t="shared" si="26"/>
        <v>#DIV/0!</v>
      </c>
      <c r="DA27" s="73" t="e">
        <f t="shared" si="26"/>
        <v>#DIV/0!</v>
      </c>
      <c r="DB27" s="73" t="e">
        <f t="shared" si="26"/>
        <v>#DIV/0!</v>
      </c>
      <c r="DC27" s="73" t="e">
        <f t="shared" si="26"/>
        <v>#DIV/0!</v>
      </c>
      <c r="DD27" s="73" t="e">
        <f t="shared" si="26"/>
        <v>#DIV/0!</v>
      </c>
      <c r="DE27" s="73" t="e">
        <f t="shared" si="26"/>
        <v>#DIV/0!</v>
      </c>
      <c r="DF27" s="73" t="e">
        <f t="shared" si="26"/>
        <v>#DIV/0!</v>
      </c>
      <c r="DG27" s="73" t="e">
        <f t="shared" si="26"/>
        <v>#DIV/0!</v>
      </c>
      <c r="DH27" s="73" t="e">
        <f t="shared" si="26"/>
        <v>#DIV/0!</v>
      </c>
      <c r="DI27" s="73" t="e">
        <f t="shared" si="26"/>
        <v>#DIV/0!</v>
      </c>
      <c r="DJ27" s="73" t="e">
        <f t="shared" si="26"/>
        <v>#DIV/0!</v>
      </c>
      <c r="DK27" s="73" t="e">
        <f t="shared" si="26"/>
        <v>#DIV/0!</v>
      </c>
    </row>
    <row r="28" spans="1:126" ht="14.25" customHeight="1">
      <c r="A28" s="113"/>
      <c r="E28" s="118"/>
      <c r="I28" s="93"/>
      <c r="J28" s="305" t="e">
        <f t="array" ref="J28">_xlfn.STDEV.P(IF($E$5:$E$14=$E27,J$5:J$14))</f>
        <v>#REF!</v>
      </c>
      <c r="K28" s="305"/>
      <c r="L28" s="305"/>
      <c r="M28" s="305" t="e">
        <f t="array" ref="M28">_xlfn.STDEV.P(IF($E$5:$E$14=$E27,M$5:M$14))</f>
        <v>#REF!</v>
      </c>
      <c r="N28" s="305" t="e">
        <f t="array" ref="N28">_xlfn.STDEV.P(IF($E$5:$E$14=$E27,N$5:N$14))</f>
        <v>#REF!</v>
      </c>
      <c r="O28" s="305" t="e">
        <f t="array" ref="O28">_xlfn.STDEV.P(IF($E$5:$E$14=$E27,O$5:O$14))</f>
        <v>#REF!</v>
      </c>
      <c r="P28" s="305" t="e">
        <f t="array" ref="P28">_xlfn.STDEV.P(IF($E$5:$E$14=$E27,P$5:P$14))</f>
        <v>#REF!</v>
      </c>
      <c r="Q28" s="305" t="e">
        <f t="array" ref="Q28">_xlfn.STDEV.P(IF($E$5:$E$14=$E27,Q$5:Q$14))</f>
        <v>#REF!</v>
      </c>
      <c r="R28" s="305" t="e">
        <f t="array" ref="R28">_xlfn.STDEV.P(IF($E$5:$E$14=$E27,R$5:R$14))</f>
        <v>#REF!</v>
      </c>
      <c r="S28" s="303"/>
      <c r="T28" s="303" t="e">
        <f t="array" ref="T28">_xlfn.STDEV.P(IF($E$5:$E$14=$E27,T$5:T$14))</f>
        <v>#REF!</v>
      </c>
      <c r="U28" s="305" t="e">
        <f t="array" ref="U28">_xlfn.STDEV.P(IF($E$5:$E$14=$E27,U$5:U$14))</f>
        <v>#REF!</v>
      </c>
      <c r="V28" s="72" t="s">
        <v>11</v>
      </c>
      <c r="W28" s="81" t="e">
        <f t="array" ref="W28">_xlfn.STDEV.P(IF($E$5:$E$14=$E27,W$5:W$14))</f>
        <v>#REF!</v>
      </c>
      <c r="X28" s="81" t="e">
        <f t="array" ref="X28">_xlfn.STDEV.P(IF($E$5:$E$14=$E27,X$5:X$14))</f>
        <v>#REF!</v>
      </c>
      <c r="Y28" s="81" t="e">
        <f t="array" ref="Y28">_xlfn.STDEV.P(IF($E$5:$E$14=$E27,Y$5:Y$14))</f>
        <v>#REF!</v>
      </c>
      <c r="Z28" s="81" t="e">
        <f t="array" ref="Z28">_xlfn.STDEV.P(IF($E$5:$E$14=$E27,Z$5:Z$14))</f>
        <v>#REF!</v>
      </c>
      <c r="AA28" s="81" t="e">
        <f t="array" ref="AA28">_xlfn.STDEV.P(IF($E$5:$E$14=$E27,AA$5:AA$14))</f>
        <v>#REF!</v>
      </c>
      <c r="AB28" s="81" t="e">
        <f t="array" ref="AB28">_xlfn.STDEV.P(IF($E$5:$E$14=$E27,AB$5:AB$14))</f>
        <v>#REF!</v>
      </c>
      <c r="AC28" s="81" t="e">
        <f t="array" ref="AC28">_xlfn.STDEV.P(IF($E$5:$E$14=$E27,AC$5:AC$14))</f>
        <v>#REF!</v>
      </c>
      <c r="AD28" s="81" t="e">
        <f t="array" ref="AD28">_xlfn.STDEV.P(IF($E$5:$E$14=$E27,AD$5:AD$14))</f>
        <v>#REF!</v>
      </c>
      <c r="AE28" s="81" t="e">
        <f t="array" ref="AE28">_xlfn.STDEV.P(IF($E$5:$E$14=$E27,AE$5:AE$14))</f>
        <v>#REF!</v>
      </c>
      <c r="AF28" s="81" t="e">
        <f t="array" ref="AF28">_xlfn.STDEV.P(IF($E$5:$E$14=$E27,AF$5:AF$14))</f>
        <v>#REF!</v>
      </c>
      <c r="AG28" s="81" t="e">
        <f t="array" ref="AG28">_xlfn.STDEV.P(IF($E$5:$E$14=$E27,AG$5:AG$14))</f>
        <v>#REF!</v>
      </c>
      <c r="AH28" s="81" t="e">
        <f t="array" ref="AH28">_xlfn.STDEV.P(IF($E$5:$E$14=$E27,AH$5:AH$14))</f>
        <v>#REF!</v>
      </c>
      <c r="AI28" s="81" t="e">
        <f t="array" ref="AI28">_xlfn.STDEV.P(IF($E$5:$E$14=$E27,AI$5:AI$14))</f>
        <v>#REF!</v>
      </c>
      <c r="AJ28" s="81" t="e">
        <f t="array" ref="AJ28">_xlfn.STDEV.P(IF($E$5:$E$14=$E27,AJ$5:AJ$14))</f>
        <v>#REF!</v>
      </c>
      <c r="AK28" s="81" t="e">
        <f t="array" ref="AK28">_xlfn.STDEV.P(IF($E$5:$E$14=$E27,AK$5:AK$14))</f>
        <v>#REF!</v>
      </c>
      <c r="AL28" s="81" t="e">
        <f t="array" ref="AL28">_xlfn.STDEV.P(IF($E$5:$E$14=$E27,AL$5:AL$14))</f>
        <v>#REF!</v>
      </c>
      <c r="AM28" s="81" t="e">
        <f t="array" ref="AM28">_xlfn.STDEV.P(IF($E$5:$E$14=$E27,AM$5:AM$14))</f>
        <v>#REF!</v>
      </c>
      <c r="AN28" s="81" t="e">
        <f t="array" ref="AN28">_xlfn.STDEV.P(IF($E$5:$E$14=$E27,AN$5:AN$14))</f>
        <v>#REF!</v>
      </c>
      <c r="AO28" s="81" t="e">
        <f t="array" ref="AO28">_xlfn.STDEV.P(IF($E$5:$E$14=$E27,AO$5:AO$14))</f>
        <v>#REF!</v>
      </c>
      <c r="AP28" s="81" t="e">
        <f t="array" ref="AP28">_xlfn.STDEV.P(IF($E$5:$E$14=$E27,AP$5:AP$14))</f>
        <v>#REF!</v>
      </c>
      <c r="AQ28" s="81" t="e">
        <f t="array" ref="AQ28">_xlfn.STDEV.P(IF($E$5:$E$14=$E27,AQ$5:AQ$14))</f>
        <v>#REF!</v>
      </c>
      <c r="AR28" s="81" t="e">
        <f t="array" ref="AR28">_xlfn.STDEV.P(IF($E$5:$E$14=$E27,AR$5:AR$14))</f>
        <v>#REF!</v>
      </c>
      <c r="AS28" s="81" t="e">
        <f t="array" ref="AS28">_xlfn.STDEV.P(IF($E$5:$E$14=$E27,AS$5:AS$14))</f>
        <v>#REF!</v>
      </c>
      <c r="AT28" s="81" t="e">
        <f t="array" ref="AT28">_xlfn.STDEV.P(IF($E$5:$E$14=$E27,AT$5:AT$14))</f>
        <v>#REF!</v>
      </c>
      <c r="AU28" s="81" t="e">
        <f t="array" ref="AU28">_xlfn.STDEV.P(IF($E$5:$E$14=$E27,AU$5:AU$14))</f>
        <v>#REF!</v>
      </c>
      <c r="AV28" s="81" t="e">
        <f t="array" ref="AV28">_xlfn.STDEV.P(IF($E$5:$E$14=$E27,AV$5:AV$14))</f>
        <v>#REF!</v>
      </c>
      <c r="AW28" s="81" t="e">
        <f t="array" ref="AW28">_xlfn.STDEV.P(IF($E$5:$E$14=$E27,AW$5:AW$14))</f>
        <v>#REF!</v>
      </c>
      <c r="AX28" s="81" t="e">
        <f t="array" ref="AX28">_xlfn.STDEV.P(IF($E$5:$E$14=$E27,AX$5:AX$14))</f>
        <v>#REF!</v>
      </c>
      <c r="AY28" s="81" t="e">
        <f t="array" ref="AY28">_xlfn.STDEV.P(IF($E$5:$E$14=$E27,AY$5:AY$14))</f>
        <v>#REF!</v>
      </c>
      <c r="AZ28" s="81" t="e">
        <f t="array" ref="AZ28">_xlfn.STDEV.P(IF($E$5:$E$14=$E27,AZ$5:AZ$14))</f>
        <v>#REF!</v>
      </c>
      <c r="BA28" s="81" t="e">
        <f t="array" ref="BA28">_xlfn.STDEV.P(IF($E$5:$E$14=$E27,BA$5:BA$14))</f>
        <v>#REF!</v>
      </c>
      <c r="BB28" s="81" t="e">
        <f t="array" ref="BB28">_xlfn.STDEV.P(IF($E$5:$E$14=$E27,BB$5:BB$14))</f>
        <v>#REF!</v>
      </c>
      <c r="BC28" s="81" t="e">
        <f t="array" ref="BC28">_xlfn.STDEV.P(IF($E$5:$E$14=$E27,BC$5:BC$14))</f>
        <v>#REF!</v>
      </c>
      <c r="BD28" s="81" t="e">
        <f t="array" ref="BD28">_xlfn.STDEV.P(IF($E$5:$E$14=$E27,BD$5:BD$14))</f>
        <v>#REF!</v>
      </c>
      <c r="BE28" s="81" t="e">
        <f t="array" ref="BE28">_xlfn.STDEV.P(IF($E$5:$E$14=$E27,BE$5:BE$14))</f>
        <v>#REF!</v>
      </c>
      <c r="BF28" s="81" t="e">
        <f t="array" ref="BF28">_xlfn.STDEV.P(IF($E$5:$E$14=$E27,BF$5:BF$14))</f>
        <v>#REF!</v>
      </c>
      <c r="BG28" s="81" t="e">
        <f t="array" ref="BG28">_xlfn.STDEV.P(IF($E$5:$E$14=$E27,BG$5:BG$14))</f>
        <v>#REF!</v>
      </c>
      <c r="BH28" s="81" t="e">
        <f t="array" ref="BH28">_xlfn.STDEV.P(IF($E$5:$E$14=$E27,BH$5:BH$14))</f>
        <v>#REF!</v>
      </c>
      <c r="BI28" s="81" t="e">
        <f t="array" ref="BI28">_xlfn.STDEV.P(IF($E$5:$E$14=$E27,BI$5:BI$14))</f>
        <v>#REF!</v>
      </c>
      <c r="BJ28" s="81" t="e">
        <f t="array" ref="BJ28">_xlfn.STDEV.P(IF($E$5:$E$14=$E27,BJ$5:BJ$14))</f>
        <v>#REF!</v>
      </c>
      <c r="BK28" s="81" t="e">
        <f t="array" ref="BK28">_xlfn.STDEV.P(IF($E$5:$E$14=$E27,BK$5:BK$14))</f>
        <v>#REF!</v>
      </c>
      <c r="BL28" s="81" t="e">
        <f t="array" ref="BL28">_xlfn.STDEV.P(IF($E$5:$E$14=$E27,BL$5:BL$14))</f>
        <v>#REF!</v>
      </c>
      <c r="BM28" s="81" t="e">
        <f t="array" ref="BM28">_xlfn.STDEV.P(IF($E$5:$E$14=$E27,BM$5:BM$14))</f>
        <v>#REF!</v>
      </c>
      <c r="BN28" s="81" t="e">
        <f t="array" ref="BN28">_xlfn.STDEV.P(IF($E$5:$E$14=$E27,BN$5:BN$14))</f>
        <v>#REF!</v>
      </c>
      <c r="BO28" s="81" t="e">
        <f t="array" ref="BO28">_xlfn.STDEV.P(IF($E$5:$E$14=$E27,BO$5:BO$14))</f>
        <v>#REF!</v>
      </c>
      <c r="BP28" s="81" t="e">
        <f t="array" ref="BP28">_xlfn.STDEV.P(IF($E$5:$E$14=$E27,BP$5:BP$14))</f>
        <v>#REF!</v>
      </c>
      <c r="BQ28" s="104" t="s">
        <v>11</v>
      </c>
      <c r="BR28" s="74" t="e">
        <f t="array" ref="BR28">_xlfn.STDEV.P(IF($E$5:$E$14=$E27,BR$5:BR$14))</f>
        <v>#REF!</v>
      </c>
      <c r="BS28" s="74" t="e">
        <f t="array" ref="BS28">_xlfn.STDEV.P(IF($E$5:$E$14=$E27,BS$5:BS$14))</f>
        <v>#REF!</v>
      </c>
      <c r="BT28" s="74" t="e">
        <f t="array" ref="BT28">_xlfn.STDEV.P(IF($E$5:$E$14=$E27,BT$5:BT$14))</f>
        <v>#REF!</v>
      </c>
      <c r="BU28" s="74" t="e">
        <f t="array" ref="BU28">_xlfn.STDEV.P(IF($E$5:$E$14=$E27,BU$5:BU$14))</f>
        <v>#REF!</v>
      </c>
      <c r="BV28" s="74" t="e">
        <f t="array" ref="BV28">_xlfn.STDEV.P(IF($E$5:$E$14=$E27,BV$5:BV$14))</f>
        <v>#REF!</v>
      </c>
      <c r="BW28" s="74" t="e">
        <f t="array" ref="BW28">_xlfn.STDEV.P(IF($E$5:$E$14=$E27,BW$5:BW$14))</f>
        <v>#REF!</v>
      </c>
      <c r="BX28" s="74" t="e">
        <f t="array" ref="BX28">_xlfn.STDEV.P(IF($E$5:$E$14=$E27,BX$5:BX$14))</f>
        <v>#REF!</v>
      </c>
      <c r="BY28" s="74" t="e">
        <f t="array" ref="BY28">_xlfn.STDEV.P(IF($E$5:$E$14=$E27,BY$5:BY$14))</f>
        <v>#REF!</v>
      </c>
      <c r="BZ28" s="74" t="e">
        <f t="array" ref="BZ28">_xlfn.STDEV.P(IF($E$5:$E$14=$E27,BZ$5:BZ$14))</f>
        <v>#REF!</v>
      </c>
      <c r="CA28" s="74" t="e">
        <f t="array" ref="CA28">_xlfn.STDEV.P(IF($E$5:$E$14=$E27,CA$5:CA$14))</f>
        <v>#REF!</v>
      </c>
      <c r="CB28" s="74" t="e">
        <f t="array" ref="CB28">_xlfn.STDEV.P(IF($E$5:$E$14=$E27,CB$5:CB$14))</f>
        <v>#REF!</v>
      </c>
      <c r="CC28" s="74" t="e">
        <f t="array" ref="CC28">_xlfn.STDEV.P(IF($E$5:$E$14=$E27,CC$5:CC$14))</f>
        <v>#REF!</v>
      </c>
      <c r="CD28" s="74" t="e">
        <f t="array" ref="CD28">_xlfn.STDEV.P(IF($E$5:$E$14=$E27,CD$5:CD$14))</f>
        <v>#REF!</v>
      </c>
      <c r="CE28" s="74" t="e">
        <f t="array" ref="CE28">_xlfn.STDEV.P(IF($E$5:$E$14=$E27,CE$5:CE$14))</f>
        <v>#REF!</v>
      </c>
      <c r="CF28" s="74" t="e">
        <f t="array" ref="CF28">_xlfn.STDEV.P(IF($E$5:$E$14=$E27,CF$5:CF$14))</f>
        <v>#REF!</v>
      </c>
      <c r="CG28" s="74" t="e">
        <f t="array" ref="CG28">_xlfn.STDEV.P(IF($E$5:$E$14=$E27,CG$5:CG$14))</f>
        <v>#REF!</v>
      </c>
      <c r="CH28" s="74" t="e">
        <f t="array" ref="CH28">_xlfn.STDEV.P(IF($E$5:$E$14=$E27,CH$5:CH$14))</f>
        <v>#REF!</v>
      </c>
      <c r="CI28" s="74" t="e">
        <f t="array" ref="CI28">_xlfn.STDEV.P(IF($E$5:$E$14=$E27,CI$5:CI$14))</f>
        <v>#REF!</v>
      </c>
      <c r="CJ28" s="74" t="e">
        <f t="array" ref="CJ28">_xlfn.STDEV.P(IF($E$5:$E$14=$E27,CJ$5:CJ$14))</f>
        <v>#REF!</v>
      </c>
      <c r="CK28" s="74" t="e">
        <f t="array" ref="CK28">_xlfn.STDEV.P(IF($E$5:$E$14=$E27,CK$5:CK$14))</f>
        <v>#REF!</v>
      </c>
      <c r="CL28" s="74" t="e">
        <f t="array" ref="CL28">_xlfn.STDEV.P(IF($E$5:$E$14=$E27,CL$5:CL$14))</f>
        <v>#REF!</v>
      </c>
      <c r="CM28" s="74" t="e">
        <f t="array" ref="CM28">_xlfn.STDEV.P(IF($E$5:$E$14=$E27,CM$5:CM$14))</f>
        <v>#REF!</v>
      </c>
      <c r="CN28" s="74" t="e">
        <f t="array" ref="CN28">_xlfn.STDEV.P(IF($E$5:$E$14=$E27,CN$5:CN$14))</f>
        <v>#REF!</v>
      </c>
      <c r="CO28" s="74" t="e">
        <f t="array" ref="CO28">_xlfn.STDEV.P(IF($E$5:$E$14=$E27,CO$5:CO$14))</f>
        <v>#REF!</v>
      </c>
      <c r="CP28" s="74" t="e">
        <f t="array" ref="CP28">_xlfn.STDEV.P(IF($E$5:$E$14=$E27,CP$5:CP$14))</f>
        <v>#REF!</v>
      </c>
      <c r="CQ28" s="74" t="e">
        <f t="array" ref="CQ28">_xlfn.STDEV.P(IF($E$5:$E$14=$E27,CQ$5:CQ$14))</f>
        <v>#REF!</v>
      </c>
      <c r="CR28" s="74" t="e">
        <f t="array" ref="CR28">_xlfn.STDEV.P(IF($E$5:$E$14=$E27,CR$5:CR$14))</f>
        <v>#REF!</v>
      </c>
      <c r="CS28" s="74" t="e">
        <f t="array" ref="CS28">_xlfn.STDEV.P(IF($E$5:$E$14=$E27,CS$5:CS$14))</f>
        <v>#REF!</v>
      </c>
      <c r="CT28" s="74" t="e">
        <f t="array" ref="CT28">_xlfn.STDEV.P(IF($E$5:$E$14=$E27,CT$5:CT$14))</f>
        <v>#REF!</v>
      </c>
      <c r="CU28" s="74" t="e">
        <f t="array" ref="CU28">_xlfn.STDEV.P(IF($E$5:$E$14=$E27,CU$5:CU$14))</f>
        <v>#REF!</v>
      </c>
      <c r="CV28" s="74" t="e">
        <f t="array" ref="CV28">_xlfn.STDEV.P(IF($E$5:$E$14=$E27,CV$5:CV$14))</f>
        <v>#REF!</v>
      </c>
      <c r="CW28" s="74" t="e">
        <f t="array" ref="CW28">_xlfn.STDEV.P(IF($E$5:$E$14=$E27,CW$5:CW$14))</f>
        <v>#REF!</v>
      </c>
      <c r="CX28" s="74" t="e">
        <f t="array" ref="CX28">_xlfn.STDEV.P(IF($E$5:$E$14=$E27,CX$5:CX$14))</f>
        <v>#REF!</v>
      </c>
      <c r="CY28" s="74" t="e">
        <f t="array" ref="CY28">_xlfn.STDEV.P(IF($E$5:$E$14=$E27,CY$5:CY$14))</f>
        <v>#REF!</v>
      </c>
      <c r="CZ28" s="74" t="e">
        <f t="array" ref="CZ28">_xlfn.STDEV.P(IF($E$5:$E$14=$E27,CZ$5:CZ$14))</f>
        <v>#REF!</v>
      </c>
      <c r="DA28" s="74" t="e">
        <f t="array" ref="DA28">_xlfn.STDEV.P(IF($E$5:$E$14=$E27,DA$5:DA$14))</f>
        <v>#REF!</v>
      </c>
      <c r="DB28" s="74" t="e">
        <f t="array" ref="DB28">_xlfn.STDEV.P(IF($E$5:$E$14=$E27,DB$5:DB$14))</f>
        <v>#REF!</v>
      </c>
      <c r="DC28" s="74" t="e">
        <f t="array" ref="DC28">_xlfn.STDEV.P(IF($E$5:$E$14=$E27,DC$5:DC$14))</f>
        <v>#REF!</v>
      </c>
      <c r="DD28" s="74" t="e">
        <f t="array" ref="DD28">_xlfn.STDEV.P(IF($E$5:$E$14=$E27,DD$5:DD$14))</f>
        <v>#REF!</v>
      </c>
      <c r="DE28" s="74" t="e">
        <f t="array" ref="DE28">_xlfn.STDEV.P(IF($E$5:$E$14=$E27,DE$5:DE$14))</f>
        <v>#REF!</v>
      </c>
      <c r="DF28" s="74" t="e">
        <f t="array" ref="DF28">_xlfn.STDEV.P(IF($E$5:$E$14=$E27,DF$5:DF$14))</f>
        <v>#REF!</v>
      </c>
      <c r="DG28" s="74" t="e">
        <f t="array" ref="DG28">_xlfn.STDEV.P(IF($E$5:$E$14=$E27,DG$5:DG$14))</f>
        <v>#REF!</v>
      </c>
      <c r="DH28" s="74" t="e">
        <f t="array" ref="DH28">_xlfn.STDEV.P(IF($E$5:$E$14=$E27,DH$5:DH$14))</f>
        <v>#REF!</v>
      </c>
      <c r="DI28" s="74" t="e">
        <f t="array" ref="DI28">_xlfn.STDEV.P(IF($E$5:$E$14=$E27,DI$5:DI$14))</f>
        <v>#REF!</v>
      </c>
      <c r="DJ28" s="74" t="e">
        <f t="array" ref="DJ28">_xlfn.STDEV.P(IF($E$5:$E$14=$E27,DJ$5:DJ$14))</f>
        <v>#REF!</v>
      </c>
      <c r="DK28" s="74" t="e">
        <f t="array" ref="DK28">_xlfn.STDEV.P(IF($E$5:$E$14=$E27,DK$5:DK$14))</f>
        <v>#REF!</v>
      </c>
    </row>
    <row r="29" spans="1:126" ht="15">
      <c r="A29" s="113"/>
      <c r="E29" s="118"/>
      <c r="I29" s="52"/>
      <c r="K29" s="57"/>
      <c r="L29" s="57"/>
      <c r="Q29" s="57"/>
      <c r="R29" s="57"/>
      <c r="U29" s="57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</row>
    <row r="30" spans="1:126" ht="14.25" customHeight="1">
      <c r="A30" s="113"/>
      <c r="E30" s="118" t="str">
        <f>'AsPc1 REPEAT Groups'!C8</f>
        <v>Excluded</v>
      </c>
      <c r="I30" s="118" t="str">
        <f>E30</f>
        <v>Excluded</v>
      </c>
      <c r="J30" s="305">
        <f>AVERAGEIF($E$5:$E$14,$E30,J$5:J$14)</f>
        <v>28.4</v>
      </c>
      <c r="K30" s="305"/>
      <c r="L30" s="305"/>
      <c r="M30" s="305">
        <f t="shared" ref="M30:R30" si="27">AVERAGEIF($E$5:$E$14,$E30,M$5:M$14)</f>
        <v>86.561279999999996</v>
      </c>
      <c r="N30" s="305">
        <f t="shared" si="27"/>
        <v>865.61279999999999</v>
      </c>
      <c r="O30" s="305">
        <f t="shared" si="27"/>
        <v>47.404863088718507</v>
      </c>
      <c r="P30" s="305">
        <f t="shared" si="27"/>
        <v>997</v>
      </c>
      <c r="Q30" s="305">
        <f t="shared" si="27"/>
        <v>11.517851861709994</v>
      </c>
      <c r="R30" s="305">
        <f t="shared" si="27"/>
        <v>1.1517851861709993</v>
      </c>
      <c r="S30" s="303"/>
      <c r="T30" s="303" t="e">
        <f>AVERAGEIF($E$5:$E$14,$E30,T$5:T$14)</f>
        <v>#DIV/0!</v>
      </c>
      <c r="U30" s="305" t="e">
        <f>AVERAGEIF($E$5:$E$14,$E30,U$5:U$14)</f>
        <v>#DIV/0!</v>
      </c>
      <c r="V30" s="72" t="s">
        <v>9</v>
      </c>
      <c r="W30" s="78">
        <f t="shared" ref="W30:BP30" si="28">AVERAGEIF($E$5:$E$14,$E30,W$5:W$14)</f>
        <v>93.483520000000013</v>
      </c>
      <c r="X30" s="78">
        <f t="shared" si="28"/>
        <v>86.561279999999996</v>
      </c>
      <c r="Y30" s="78">
        <f t="shared" si="28"/>
        <v>97.044480000000021</v>
      </c>
      <c r="Z30" s="78">
        <f t="shared" si="28"/>
        <v>114.15039999999998</v>
      </c>
      <c r="AA30" s="78">
        <f t="shared" si="28"/>
        <v>87.946560000000005</v>
      </c>
      <c r="AB30" s="78" t="e">
        <f t="shared" si="28"/>
        <v>#DIV/0!</v>
      </c>
      <c r="AC30" s="78" t="e">
        <f t="shared" si="28"/>
        <v>#DIV/0!</v>
      </c>
      <c r="AD30" s="78" t="e">
        <f t="shared" si="28"/>
        <v>#DIV/0!</v>
      </c>
      <c r="AE30" s="78" t="e">
        <f t="shared" si="28"/>
        <v>#DIV/0!</v>
      </c>
      <c r="AF30" s="78" t="e">
        <f t="shared" si="28"/>
        <v>#DIV/0!</v>
      </c>
      <c r="AG30" s="78" t="e">
        <f t="shared" si="28"/>
        <v>#DIV/0!</v>
      </c>
      <c r="AH30" s="78" t="e">
        <f t="shared" si="28"/>
        <v>#DIV/0!</v>
      </c>
      <c r="AI30" s="78" t="e">
        <f t="shared" si="28"/>
        <v>#DIV/0!</v>
      </c>
      <c r="AJ30" s="78" t="e">
        <f t="shared" si="28"/>
        <v>#DIV/0!</v>
      </c>
      <c r="AK30" s="78" t="e">
        <f t="shared" si="28"/>
        <v>#DIV/0!</v>
      </c>
      <c r="AL30" s="78" t="e">
        <f t="shared" si="28"/>
        <v>#DIV/0!</v>
      </c>
      <c r="AM30" s="78" t="e">
        <f t="shared" si="28"/>
        <v>#DIV/0!</v>
      </c>
      <c r="AN30" s="78" t="e">
        <f t="shared" si="28"/>
        <v>#DIV/0!</v>
      </c>
      <c r="AO30" s="78" t="e">
        <f t="shared" si="28"/>
        <v>#DIV/0!</v>
      </c>
      <c r="AP30" s="78" t="e">
        <f t="shared" si="28"/>
        <v>#DIV/0!</v>
      </c>
      <c r="AQ30" s="78" t="e">
        <f t="shared" si="28"/>
        <v>#DIV/0!</v>
      </c>
      <c r="AR30" s="78" t="e">
        <f t="shared" si="28"/>
        <v>#DIV/0!</v>
      </c>
      <c r="AS30" s="78" t="e">
        <f t="shared" si="28"/>
        <v>#DIV/0!</v>
      </c>
      <c r="AT30" s="78" t="e">
        <f t="shared" si="28"/>
        <v>#DIV/0!</v>
      </c>
      <c r="AU30" s="78" t="e">
        <f t="shared" si="28"/>
        <v>#DIV/0!</v>
      </c>
      <c r="AV30" s="78" t="e">
        <f t="shared" si="28"/>
        <v>#DIV/0!</v>
      </c>
      <c r="AW30" s="78" t="e">
        <f t="shared" si="28"/>
        <v>#DIV/0!</v>
      </c>
      <c r="AX30" s="78" t="e">
        <f t="shared" si="28"/>
        <v>#DIV/0!</v>
      </c>
      <c r="AY30" s="78" t="e">
        <f t="shared" si="28"/>
        <v>#DIV/0!</v>
      </c>
      <c r="AZ30" s="78" t="e">
        <f t="shared" si="28"/>
        <v>#DIV/0!</v>
      </c>
      <c r="BA30" s="78" t="e">
        <f t="shared" si="28"/>
        <v>#DIV/0!</v>
      </c>
      <c r="BB30" s="78" t="e">
        <f t="shared" si="28"/>
        <v>#DIV/0!</v>
      </c>
      <c r="BC30" s="78" t="e">
        <f t="shared" si="28"/>
        <v>#DIV/0!</v>
      </c>
      <c r="BD30" s="78" t="e">
        <f t="shared" si="28"/>
        <v>#DIV/0!</v>
      </c>
      <c r="BE30" s="78" t="e">
        <f t="shared" si="28"/>
        <v>#DIV/0!</v>
      </c>
      <c r="BF30" s="78" t="e">
        <f t="shared" si="28"/>
        <v>#DIV/0!</v>
      </c>
      <c r="BG30" s="78" t="e">
        <f t="shared" si="28"/>
        <v>#DIV/0!</v>
      </c>
      <c r="BH30" s="78" t="e">
        <f t="shared" si="28"/>
        <v>#DIV/0!</v>
      </c>
      <c r="BI30" s="78" t="e">
        <f t="shared" si="28"/>
        <v>#DIV/0!</v>
      </c>
      <c r="BJ30" s="78" t="e">
        <f t="shared" si="28"/>
        <v>#DIV/0!</v>
      </c>
      <c r="BK30" s="78" t="e">
        <f t="shared" si="28"/>
        <v>#DIV/0!</v>
      </c>
      <c r="BL30" s="78" t="e">
        <f t="shared" si="28"/>
        <v>#DIV/0!</v>
      </c>
      <c r="BM30" s="78" t="e">
        <f t="shared" si="28"/>
        <v>#DIV/0!</v>
      </c>
      <c r="BN30" s="78" t="e">
        <f t="shared" si="28"/>
        <v>#DIV/0!</v>
      </c>
      <c r="BO30" s="78" t="e">
        <f t="shared" si="28"/>
        <v>#DIV/0!</v>
      </c>
      <c r="BP30" s="78" t="e">
        <f t="shared" si="28"/>
        <v>#DIV/0!</v>
      </c>
      <c r="BQ30" s="103" t="s">
        <v>9</v>
      </c>
      <c r="BR30" s="73">
        <f t="shared" ref="BR30:DK30" si="29">AVERAGEIF($E$5:$E$14,$E30,BR$5:BR$14)</f>
        <v>1.0799692425990006</v>
      </c>
      <c r="BS30" s="73">
        <f t="shared" si="29"/>
        <v>1</v>
      </c>
      <c r="BT30" s="73">
        <f t="shared" si="29"/>
        <v>1.1211072664359865</v>
      </c>
      <c r="BU30" s="73">
        <f t="shared" si="29"/>
        <v>1.3187235678585156</v>
      </c>
      <c r="BV30" s="73">
        <f t="shared" si="29"/>
        <v>1.0160034602076125</v>
      </c>
      <c r="BW30" s="73" t="e">
        <f t="shared" si="29"/>
        <v>#DIV/0!</v>
      </c>
      <c r="BX30" s="73" t="e">
        <f t="shared" si="29"/>
        <v>#DIV/0!</v>
      </c>
      <c r="BY30" s="73" t="e">
        <f t="shared" si="29"/>
        <v>#DIV/0!</v>
      </c>
      <c r="BZ30" s="73" t="e">
        <f t="shared" si="29"/>
        <v>#DIV/0!</v>
      </c>
      <c r="CA30" s="73" t="e">
        <f t="shared" si="29"/>
        <v>#DIV/0!</v>
      </c>
      <c r="CB30" s="73" t="e">
        <f t="shared" si="29"/>
        <v>#DIV/0!</v>
      </c>
      <c r="CC30" s="73" t="e">
        <f t="shared" si="29"/>
        <v>#DIV/0!</v>
      </c>
      <c r="CD30" s="73" t="e">
        <f t="shared" si="29"/>
        <v>#DIV/0!</v>
      </c>
      <c r="CE30" s="73" t="e">
        <f t="shared" si="29"/>
        <v>#DIV/0!</v>
      </c>
      <c r="CF30" s="73" t="e">
        <f t="shared" si="29"/>
        <v>#DIV/0!</v>
      </c>
      <c r="CG30" s="73" t="e">
        <f t="shared" si="29"/>
        <v>#DIV/0!</v>
      </c>
      <c r="CH30" s="73" t="e">
        <f t="shared" si="29"/>
        <v>#DIV/0!</v>
      </c>
      <c r="CI30" s="73" t="e">
        <f t="shared" si="29"/>
        <v>#DIV/0!</v>
      </c>
      <c r="CJ30" s="73" t="e">
        <f t="shared" si="29"/>
        <v>#DIV/0!</v>
      </c>
      <c r="CK30" s="73" t="e">
        <f t="shared" si="29"/>
        <v>#DIV/0!</v>
      </c>
      <c r="CL30" s="73" t="e">
        <f t="shared" si="29"/>
        <v>#DIV/0!</v>
      </c>
      <c r="CM30" s="73" t="e">
        <f t="shared" si="29"/>
        <v>#DIV/0!</v>
      </c>
      <c r="CN30" s="73" t="e">
        <f t="shared" si="29"/>
        <v>#DIV/0!</v>
      </c>
      <c r="CO30" s="73" t="e">
        <f t="shared" si="29"/>
        <v>#DIV/0!</v>
      </c>
      <c r="CP30" s="73" t="e">
        <f t="shared" si="29"/>
        <v>#DIV/0!</v>
      </c>
      <c r="CQ30" s="73" t="e">
        <f t="shared" si="29"/>
        <v>#DIV/0!</v>
      </c>
      <c r="CR30" s="73" t="e">
        <f t="shared" si="29"/>
        <v>#DIV/0!</v>
      </c>
      <c r="CS30" s="73" t="e">
        <f t="shared" si="29"/>
        <v>#DIV/0!</v>
      </c>
      <c r="CT30" s="73" t="e">
        <f t="shared" si="29"/>
        <v>#DIV/0!</v>
      </c>
      <c r="CU30" s="73" t="e">
        <f t="shared" si="29"/>
        <v>#DIV/0!</v>
      </c>
      <c r="CV30" s="73" t="e">
        <f t="shared" si="29"/>
        <v>#DIV/0!</v>
      </c>
      <c r="CW30" s="73" t="e">
        <f t="shared" si="29"/>
        <v>#DIV/0!</v>
      </c>
      <c r="CX30" s="73" t="e">
        <f t="shared" si="29"/>
        <v>#DIV/0!</v>
      </c>
      <c r="CY30" s="73" t="e">
        <f t="shared" si="29"/>
        <v>#DIV/0!</v>
      </c>
      <c r="CZ30" s="73" t="e">
        <f t="shared" si="29"/>
        <v>#DIV/0!</v>
      </c>
      <c r="DA30" s="73" t="e">
        <f t="shared" si="29"/>
        <v>#DIV/0!</v>
      </c>
      <c r="DB30" s="73" t="e">
        <f t="shared" si="29"/>
        <v>#DIV/0!</v>
      </c>
      <c r="DC30" s="73" t="e">
        <f t="shared" si="29"/>
        <v>#DIV/0!</v>
      </c>
      <c r="DD30" s="73" t="e">
        <f t="shared" si="29"/>
        <v>#DIV/0!</v>
      </c>
      <c r="DE30" s="73" t="e">
        <f t="shared" si="29"/>
        <v>#DIV/0!</v>
      </c>
      <c r="DF30" s="73" t="e">
        <f t="shared" si="29"/>
        <v>#DIV/0!</v>
      </c>
      <c r="DG30" s="73" t="e">
        <f t="shared" si="29"/>
        <v>#DIV/0!</v>
      </c>
      <c r="DH30" s="73" t="e">
        <f t="shared" si="29"/>
        <v>#DIV/0!</v>
      </c>
      <c r="DI30" s="73" t="e">
        <f t="shared" si="29"/>
        <v>#DIV/0!</v>
      </c>
      <c r="DJ30" s="73" t="e">
        <f t="shared" si="29"/>
        <v>#DIV/0!</v>
      </c>
      <c r="DK30" s="73" t="e">
        <f t="shared" si="29"/>
        <v>#DIV/0!</v>
      </c>
    </row>
    <row r="31" spans="1:126" ht="14.25" customHeight="1">
      <c r="A31" s="113"/>
      <c r="E31" s="93"/>
      <c r="I31" s="93"/>
      <c r="J31" s="305">
        <f t="array" ref="J31">_xlfn.STDEV.P(IF($E$5:$E$14=$E30,J$5:J$14))</f>
        <v>0</v>
      </c>
      <c r="K31" s="305"/>
      <c r="L31" s="305"/>
      <c r="M31" s="305">
        <f t="array" ref="M31">_xlfn.STDEV.P(IF($E$5:$E$14=$E30,M$5:M$14))</f>
        <v>0</v>
      </c>
      <c r="N31" s="305">
        <f t="array" ref="N31">_xlfn.STDEV.P(IF($E$5:$E$14=$E30,N$5:N$14))</f>
        <v>0</v>
      </c>
      <c r="O31" s="305">
        <f t="array" ref="O31">_xlfn.STDEV.P(IF($E$5:$E$14=$E30,O$5:O$14))</f>
        <v>0</v>
      </c>
      <c r="P31" s="305">
        <f t="array" ref="P31">_xlfn.STDEV.P(IF($E$5:$E$14=$E30,P$5:P$14))</f>
        <v>0</v>
      </c>
      <c r="Q31" s="305">
        <f t="array" ref="Q31">_xlfn.STDEV.P(IF($E$5:$E$14=$E30,Q$5:Q$14))</f>
        <v>0</v>
      </c>
      <c r="R31" s="305">
        <f t="array" ref="R31">_xlfn.STDEV.P(IF($E$5:$E$14=$E30,R$5:R$14))</f>
        <v>0</v>
      </c>
      <c r="S31" s="303"/>
      <c r="T31" s="303">
        <f t="array" ref="T31">_xlfn.STDEV.P(IF($E$5:$E$14=$E30,T$5:T$14))</f>
        <v>0</v>
      </c>
      <c r="U31" s="305">
        <f t="array" ref="U31">_xlfn.STDEV.P(IF($E$5:$E$14=$E30,U$5:U$14))</f>
        <v>0</v>
      </c>
      <c r="V31" s="72" t="s">
        <v>11</v>
      </c>
      <c r="W31" s="81">
        <f t="array" ref="W31">_xlfn.STDEV.P(IF($E$5:$E$14=$E30,W$5:W$14))</f>
        <v>0</v>
      </c>
      <c r="X31" s="81">
        <f t="array" ref="X31">_xlfn.STDEV.P(IF($E$5:$E$14=$E30,X$5:X$14))</f>
        <v>0</v>
      </c>
      <c r="Y31" s="81">
        <f t="array" ref="Y31">_xlfn.STDEV.P(IF($E$5:$E$14=$E30,Y$5:Y$14))</f>
        <v>0</v>
      </c>
      <c r="Z31" s="81">
        <f t="array" ref="Z31">_xlfn.STDEV.P(IF($E$5:$E$14=$E30,Z$5:Z$14))</f>
        <v>0</v>
      </c>
      <c r="AA31" s="81">
        <f t="array" ref="AA31">_xlfn.STDEV.P(IF($E$5:$E$14=$E30,AA$5:AA$14))</f>
        <v>0</v>
      </c>
      <c r="AB31" s="81">
        <f t="array" ref="AB31">_xlfn.STDEV.P(IF($E$5:$E$14=$E30,AB$5:AB$14))</f>
        <v>0</v>
      </c>
      <c r="AC31" s="81">
        <f t="array" ref="AC31">_xlfn.STDEV.P(IF($E$5:$E$14=$E30,AC$5:AC$14))</f>
        <v>0</v>
      </c>
      <c r="AD31" s="81">
        <f t="array" ref="AD31">_xlfn.STDEV.P(IF($E$5:$E$14=$E30,AD$5:AD$14))</f>
        <v>0</v>
      </c>
      <c r="AE31" s="81">
        <f t="array" ref="AE31">_xlfn.STDEV.P(IF($E$5:$E$14=$E30,AE$5:AE$14))</f>
        <v>0</v>
      </c>
      <c r="AF31" s="81">
        <f t="array" ref="AF31">_xlfn.STDEV.P(IF($E$5:$E$14=$E30,AF$5:AF$14))</f>
        <v>0</v>
      </c>
      <c r="AG31" s="81">
        <f t="array" ref="AG31">_xlfn.STDEV.P(IF($E$5:$E$14=$E30,AG$5:AG$14))</f>
        <v>0</v>
      </c>
      <c r="AH31" s="81">
        <f t="array" ref="AH31">_xlfn.STDEV.P(IF($E$5:$E$14=$E30,AH$5:AH$14))</f>
        <v>0</v>
      </c>
      <c r="AI31" s="81">
        <f t="array" ref="AI31">_xlfn.STDEV.P(IF($E$5:$E$14=$E30,AI$5:AI$14))</f>
        <v>0</v>
      </c>
      <c r="AJ31" s="81">
        <f t="array" ref="AJ31">_xlfn.STDEV.P(IF($E$5:$E$14=$E30,AJ$5:AJ$14))</f>
        <v>0</v>
      </c>
      <c r="AK31" s="81">
        <f t="array" ref="AK31">_xlfn.STDEV.P(IF($E$5:$E$14=$E30,AK$5:AK$14))</f>
        <v>0</v>
      </c>
      <c r="AL31" s="81">
        <f t="array" ref="AL31">_xlfn.STDEV.P(IF($E$5:$E$14=$E30,AL$5:AL$14))</f>
        <v>0</v>
      </c>
      <c r="AM31" s="81">
        <f t="array" ref="AM31">_xlfn.STDEV.P(IF($E$5:$E$14=$E30,AM$5:AM$14))</f>
        <v>0</v>
      </c>
      <c r="AN31" s="81">
        <f t="array" ref="AN31">_xlfn.STDEV.P(IF($E$5:$E$14=$E30,AN$5:AN$14))</f>
        <v>0</v>
      </c>
      <c r="AO31" s="81">
        <f t="array" ref="AO31">_xlfn.STDEV.P(IF($E$5:$E$14=$E30,AO$5:AO$14))</f>
        <v>0</v>
      </c>
      <c r="AP31" s="81">
        <f t="array" ref="AP31">_xlfn.STDEV.P(IF($E$5:$E$14=$E30,AP$5:AP$14))</f>
        <v>0</v>
      </c>
      <c r="AQ31" s="81">
        <f t="array" ref="AQ31">_xlfn.STDEV.P(IF($E$5:$E$14=$E30,AQ$5:AQ$14))</f>
        <v>0</v>
      </c>
      <c r="AR31" s="81">
        <f t="array" ref="AR31">_xlfn.STDEV.P(IF($E$5:$E$14=$E30,AR$5:AR$14))</f>
        <v>0</v>
      </c>
      <c r="AS31" s="81">
        <f t="array" ref="AS31">_xlfn.STDEV.P(IF($E$5:$E$14=$E30,AS$5:AS$14))</f>
        <v>0</v>
      </c>
      <c r="AT31" s="81">
        <f t="array" ref="AT31">_xlfn.STDEV.P(IF($E$5:$E$14=$E30,AT$5:AT$14))</f>
        <v>0</v>
      </c>
      <c r="AU31" s="81">
        <f t="array" ref="AU31">_xlfn.STDEV.P(IF($E$5:$E$14=$E30,AU$5:AU$14))</f>
        <v>0</v>
      </c>
      <c r="AV31" s="81">
        <f t="array" ref="AV31">_xlfn.STDEV.P(IF($E$5:$E$14=$E30,AV$5:AV$14))</f>
        <v>0</v>
      </c>
      <c r="AW31" s="81">
        <f t="array" ref="AW31">_xlfn.STDEV.P(IF($E$5:$E$14=$E30,AW$5:AW$14))</f>
        <v>0</v>
      </c>
      <c r="AX31" s="81">
        <f t="array" ref="AX31">_xlfn.STDEV.P(IF($E$5:$E$14=$E30,AX$5:AX$14))</f>
        <v>0</v>
      </c>
      <c r="AY31" s="81">
        <f t="array" ref="AY31">_xlfn.STDEV.P(IF($E$5:$E$14=$E30,AY$5:AY$14))</f>
        <v>0</v>
      </c>
      <c r="AZ31" s="81">
        <f t="array" ref="AZ31">_xlfn.STDEV.P(IF($E$5:$E$14=$E30,AZ$5:AZ$14))</f>
        <v>0</v>
      </c>
      <c r="BA31" s="81">
        <f t="array" ref="BA31">_xlfn.STDEV.P(IF($E$5:$E$14=$E30,BA$5:BA$14))</f>
        <v>0</v>
      </c>
      <c r="BB31" s="81">
        <f t="array" ref="BB31">_xlfn.STDEV.P(IF($E$5:$E$14=$E30,BB$5:BB$14))</f>
        <v>0</v>
      </c>
      <c r="BC31" s="81">
        <f t="array" ref="BC31">_xlfn.STDEV.P(IF($E$5:$E$14=$E30,BC$5:BC$14))</f>
        <v>0</v>
      </c>
      <c r="BD31" s="81">
        <f t="array" ref="BD31">_xlfn.STDEV.P(IF($E$5:$E$14=$E30,BD$5:BD$14))</f>
        <v>0</v>
      </c>
      <c r="BE31" s="81">
        <f t="array" ref="BE31">_xlfn.STDEV.P(IF($E$5:$E$14=$E30,BE$5:BE$14))</f>
        <v>0</v>
      </c>
      <c r="BF31" s="81">
        <f t="array" ref="BF31">_xlfn.STDEV.P(IF($E$5:$E$14=$E30,BF$5:BF$14))</f>
        <v>0</v>
      </c>
      <c r="BG31" s="81">
        <f t="array" ref="BG31">_xlfn.STDEV.P(IF($E$5:$E$14=$E30,BG$5:BG$14))</f>
        <v>0</v>
      </c>
      <c r="BH31" s="81">
        <f t="array" ref="BH31">_xlfn.STDEV.P(IF($E$5:$E$14=$E30,BH$5:BH$14))</f>
        <v>0</v>
      </c>
      <c r="BI31" s="81">
        <f t="array" ref="BI31">_xlfn.STDEV.P(IF($E$5:$E$14=$E30,BI$5:BI$14))</f>
        <v>0</v>
      </c>
      <c r="BJ31" s="81">
        <f t="array" ref="BJ31">_xlfn.STDEV.P(IF($E$5:$E$14=$E30,BJ$5:BJ$14))</f>
        <v>0</v>
      </c>
      <c r="BK31" s="81">
        <f t="array" ref="BK31">_xlfn.STDEV.P(IF($E$5:$E$14=$E30,BK$5:BK$14))</f>
        <v>0</v>
      </c>
      <c r="BL31" s="81">
        <f t="array" ref="BL31">_xlfn.STDEV.P(IF($E$5:$E$14=$E30,BL$5:BL$14))</f>
        <v>0</v>
      </c>
      <c r="BM31" s="81">
        <f t="array" ref="BM31">_xlfn.STDEV.P(IF($E$5:$E$14=$E30,BM$5:BM$14))</f>
        <v>0</v>
      </c>
      <c r="BN31" s="81">
        <f t="array" ref="BN31">_xlfn.STDEV.P(IF($E$5:$E$14=$E30,BN$5:BN$14))</f>
        <v>0</v>
      </c>
      <c r="BO31" s="81">
        <f t="array" ref="BO31">_xlfn.STDEV.P(IF($E$5:$E$14=$E30,BO$5:BO$14))</f>
        <v>0</v>
      </c>
      <c r="BP31" s="81">
        <f t="array" ref="BP31">_xlfn.STDEV.P(IF($E$5:$E$14=$E30,BP$5:BP$14))</f>
        <v>0</v>
      </c>
      <c r="BQ31" s="104" t="s">
        <v>11</v>
      </c>
      <c r="BR31" s="74">
        <f t="array" ref="BR31">_xlfn.STDEV.P(IF($E$5:$E$14=$E30,BR$5:BR$14))</f>
        <v>0</v>
      </c>
      <c r="BS31" s="74">
        <f t="array" ref="BS31">_xlfn.STDEV.P(IF($E$5:$E$14=$E30,BS$5:BS$14))</f>
        <v>0</v>
      </c>
      <c r="BT31" s="74">
        <f t="array" ref="BT31">_xlfn.STDEV.P(IF($E$5:$E$14=$E30,BT$5:BT$14))</f>
        <v>0</v>
      </c>
      <c r="BU31" s="74">
        <f t="array" ref="BU31">_xlfn.STDEV.P(IF($E$5:$E$14=$E30,BU$5:BU$14))</f>
        <v>0</v>
      </c>
      <c r="BV31" s="74">
        <f t="array" ref="BV31">_xlfn.STDEV.P(IF($E$5:$E$14=$E30,BV$5:BV$14))</f>
        <v>0</v>
      </c>
      <c r="BW31" s="74" t="e">
        <f t="array" ref="BW31">_xlfn.STDEV.P(IF($E$5:$E$14=$E30,BW$5:BW$14))</f>
        <v>#DIV/0!</v>
      </c>
      <c r="BX31" s="74" t="e">
        <f t="array" ref="BX31">_xlfn.STDEV.P(IF($E$5:$E$14=$E30,BX$5:BX$14))</f>
        <v>#DIV/0!</v>
      </c>
      <c r="BY31" s="74" t="e">
        <f t="array" ref="BY31">_xlfn.STDEV.P(IF($E$5:$E$14=$E30,BY$5:BY$14))</f>
        <v>#DIV/0!</v>
      </c>
      <c r="BZ31" s="74" t="e">
        <f t="array" ref="BZ31">_xlfn.STDEV.P(IF($E$5:$E$14=$E30,BZ$5:BZ$14))</f>
        <v>#DIV/0!</v>
      </c>
      <c r="CA31" s="74" t="e">
        <f t="array" ref="CA31">_xlfn.STDEV.P(IF($E$5:$E$14=$E30,CA$5:CA$14))</f>
        <v>#DIV/0!</v>
      </c>
      <c r="CB31" s="74" t="e">
        <f t="array" ref="CB31">_xlfn.STDEV.P(IF($E$5:$E$14=$E30,CB$5:CB$14))</f>
        <v>#DIV/0!</v>
      </c>
      <c r="CC31" s="74" t="e">
        <f t="array" ref="CC31">_xlfn.STDEV.P(IF($E$5:$E$14=$E30,CC$5:CC$14))</f>
        <v>#DIV/0!</v>
      </c>
      <c r="CD31" s="74" t="e">
        <f t="array" ref="CD31">_xlfn.STDEV.P(IF($E$5:$E$14=$E30,CD$5:CD$14))</f>
        <v>#DIV/0!</v>
      </c>
      <c r="CE31" s="74" t="e">
        <f t="array" ref="CE31">_xlfn.STDEV.P(IF($E$5:$E$14=$E30,CE$5:CE$14))</f>
        <v>#DIV/0!</v>
      </c>
      <c r="CF31" s="74" t="e">
        <f t="array" ref="CF31">_xlfn.STDEV.P(IF($E$5:$E$14=$E30,CF$5:CF$14))</f>
        <v>#DIV/0!</v>
      </c>
      <c r="CG31" s="74" t="e">
        <f t="array" ref="CG31">_xlfn.STDEV.P(IF($E$5:$E$14=$E30,CG$5:CG$14))</f>
        <v>#DIV/0!</v>
      </c>
      <c r="CH31" s="74" t="e">
        <f t="array" ref="CH31">_xlfn.STDEV.P(IF($E$5:$E$14=$E30,CH$5:CH$14))</f>
        <v>#DIV/0!</v>
      </c>
      <c r="CI31" s="74" t="e">
        <f t="array" ref="CI31">_xlfn.STDEV.P(IF($E$5:$E$14=$E30,CI$5:CI$14))</f>
        <v>#DIV/0!</v>
      </c>
      <c r="CJ31" s="74" t="e">
        <f t="array" ref="CJ31">_xlfn.STDEV.P(IF($E$5:$E$14=$E30,CJ$5:CJ$14))</f>
        <v>#DIV/0!</v>
      </c>
      <c r="CK31" s="74" t="e">
        <f t="array" ref="CK31">_xlfn.STDEV.P(IF($E$5:$E$14=$E30,CK$5:CK$14))</f>
        <v>#DIV/0!</v>
      </c>
      <c r="CL31" s="74" t="e">
        <f t="array" ref="CL31">_xlfn.STDEV.P(IF($E$5:$E$14=$E30,CL$5:CL$14))</f>
        <v>#DIV/0!</v>
      </c>
      <c r="CM31" s="74" t="e">
        <f t="array" ref="CM31">_xlfn.STDEV.P(IF($E$5:$E$14=$E30,CM$5:CM$14))</f>
        <v>#DIV/0!</v>
      </c>
      <c r="CN31" s="74" t="e">
        <f t="array" ref="CN31">_xlfn.STDEV.P(IF($E$5:$E$14=$E30,CN$5:CN$14))</f>
        <v>#DIV/0!</v>
      </c>
      <c r="CO31" s="74" t="e">
        <f t="array" ref="CO31">_xlfn.STDEV.P(IF($E$5:$E$14=$E30,CO$5:CO$14))</f>
        <v>#DIV/0!</v>
      </c>
      <c r="CP31" s="74" t="e">
        <f t="array" ref="CP31">_xlfn.STDEV.P(IF($E$5:$E$14=$E30,CP$5:CP$14))</f>
        <v>#DIV/0!</v>
      </c>
      <c r="CQ31" s="74" t="e">
        <f t="array" ref="CQ31">_xlfn.STDEV.P(IF($E$5:$E$14=$E30,CQ$5:CQ$14))</f>
        <v>#DIV/0!</v>
      </c>
      <c r="CR31" s="74" t="e">
        <f t="array" ref="CR31">_xlfn.STDEV.P(IF($E$5:$E$14=$E30,CR$5:CR$14))</f>
        <v>#DIV/0!</v>
      </c>
      <c r="CS31" s="74" t="e">
        <f t="array" ref="CS31">_xlfn.STDEV.P(IF($E$5:$E$14=$E30,CS$5:CS$14))</f>
        <v>#DIV/0!</v>
      </c>
      <c r="CT31" s="74" t="e">
        <f t="array" ref="CT31">_xlfn.STDEV.P(IF($E$5:$E$14=$E30,CT$5:CT$14))</f>
        <v>#DIV/0!</v>
      </c>
      <c r="CU31" s="74" t="e">
        <f t="array" ref="CU31">_xlfn.STDEV.P(IF($E$5:$E$14=$E30,CU$5:CU$14))</f>
        <v>#DIV/0!</v>
      </c>
      <c r="CV31" s="74" t="e">
        <f t="array" ref="CV31">_xlfn.STDEV.P(IF($E$5:$E$14=$E30,CV$5:CV$14))</f>
        <v>#DIV/0!</v>
      </c>
      <c r="CW31" s="74" t="e">
        <f t="array" ref="CW31">_xlfn.STDEV.P(IF($E$5:$E$14=$E30,CW$5:CW$14))</f>
        <v>#DIV/0!</v>
      </c>
      <c r="CX31" s="74" t="e">
        <f t="array" ref="CX31">_xlfn.STDEV.P(IF($E$5:$E$14=$E30,CX$5:CX$14))</f>
        <v>#DIV/0!</v>
      </c>
      <c r="CY31" s="74" t="e">
        <f t="array" ref="CY31">_xlfn.STDEV.P(IF($E$5:$E$14=$E30,CY$5:CY$14))</f>
        <v>#DIV/0!</v>
      </c>
      <c r="CZ31" s="74" t="e">
        <f t="array" ref="CZ31">_xlfn.STDEV.P(IF($E$5:$E$14=$E30,CZ$5:CZ$14))</f>
        <v>#DIV/0!</v>
      </c>
      <c r="DA31" s="74" t="e">
        <f t="array" ref="DA31">_xlfn.STDEV.P(IF($E$5:$E$14=$E30,DA$5:DA$14))</f>
        <v>#DIV/0!</v>
      </c>
      <c r="DB31" s="74" t="e">
        <f t="array" ref="DB31">_xlfn.STDEV.P(IF($E$5:$E$14=$E30,DB$5:DB$14))</f>
        <v>#DIV/0!</v>
      </c>
      <c r="DC31" s="74" t="e">
        <f t="array" ref="DC31">_xlfn.STDEV.P(IF($E$5:$E$14=$E30,DC$5:DC$14))</f>
        <v>#DIV/0!</v>
      </c>
      <c r="DD31" s="74" t="e">
        <f t="array" ref="DD31">_xlfn.STDEV.P(IF($E$5:$E$14=$E30,DD$5:DD$14))</f>
        <v>#DIV/0!</v>
      </c>
      <c r="DE31" s="74" t="e">
        <f t="array" ref="DE31">_xlfn.STDEV.P(IF($E$5:$E$14=$E30,DE$5:DE$14))</f>
        <v>#DIV/0!</v>
      </c>
      <c r="DF31" s="74" t="e">
        <f t="array" ref="DF31">_xlfn.STDEV.P(IF($E$5:$E$14=$E30,DF$5:DF$14))</f>
        <v>#DIV/0!</v>
      </c>
      <c r="DG31" s="74" t="e">
        <f t="array" ref="DG31">_xlfn.STDEV.P(IF($E$5:$E$14=$E30,DG$5:DG$14))</f>
        <v>#DIV/0!</v>
      </c>
      <c r="DH31" s="74" t="e">
        <f t="array" ref="DH31">_xlfn.STDEV.P(IF($E$5:$E$14=$E30,DH$5:DH$14))</f>
        <v>#DIV/0!</v>
      </c>
      <c r="DI31" s="74" t="e">
        <f t="array" ref="DI31">_xlfn.STDEV.P(IF($E$5:$E$14=$E30,DI$5:DI$14))</f>
        <v>#DIV/0!</v>
      </c>
      <c r="DJ31" s="74" t="e">
        <f t="array" ref="DJ31">_xlfn.STDEV.P(IF($E$5:$E$14=$E30,DJ$5:DJ$14))</f>
        <v>#DIV/0!</v>
      </c>
      <c r="DK31" s="74" t="e">
        <f t="array" ref="DK31">_xlfn.STDEV.P(IF($E$5:$E$14=$E30,DK$5:DK$14))</f>
        <v>#DIV/0!</v>
      </c>
    </row>
    <row r="32" spans="1:126" ht="15">
      <c r="A32" s="113"/>
      <c r="E32" s="118"/>
      <c r="I32" s="52"/>
      <c r="K32" s="57"/>
      <c r="L32" s="57"/>
      <c r="Q32" s="57"/>
      <c r="R32" s="57"/>
      <c r="U32" s="57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</row>
    <row r="33" spans="1:115" ht="14.25" customHeight="1">
      <c r="A33" s="113"/>
      <c r="E33" s="118" t="str">
        <f>'AsPc1 REPEAT Groups'!C9</f>
        <v>Group 4</v>
      </c>
      <c r="I33" s="118" t="str">
        <f>E33</f>
        <v>Group 4</v>
      </c>
      <c r="J33" s="305" t="e">
        <f>AVERAGEIF($E$5:$E$14,$E33,J$5:J$14)</f>
        <v>#DIV/0!</v>
      </c>
      <c r="K33" s="305"/>
      <c r="L33" s="305"/>
      <c r="M33" s="305" t="e">
        <f t="shared" ref="M33:R33" si="30">AVERAGEIF($E$5:$E$14,$E33,M$5:M$14)</f>
        <v>#DIV/0!</v>
      </c>
      <c r="N33" s="305" t="e">
        <f t="shared" si="30"/>
        <v>#DIV/0!</v>
      </c>
      <c r="O33" s="305" t="e">
        <f t="shared" si="30"/>
        <v>#DIV/0!</v>
      </c>
      <c r="P33" s="305" t="e">
        <f t="shared" si="30"/>
        <v>#DIV/0!</v>
      </c>
      <c r="Q33" s="305" t="e">
        <f t="shared" si="30"/>
        <v>#DIV/0!</v>
      </c>
      <c r="R33" s="305" t="e">
        <f t="shared" si="30"/>
        <v>#DIV/0!</v>
      </c>
      <c r="S33" s="303"/>
      <c r="T33" s="303" t="e">
        <f>AVERAGEIF($E$5:$E$14,$E33,T$5:T$14)</f>
        <v>#DIV/0!</v>
      </c>
      <c r="U33" s="305" t="e">
        <f>AVERAGEIF($E$5:$E$14,$E33,U$5:U$14)</f>
        <v>#DIV/0!</v>
      </c>
      <c r="V33" s="72" t="s">
        <v>9</v>
      </c>
      <c r="W33" s="78" t="e">
        <f t="shared" ref="W33:BP33" si="31">AVERAGEIF($E$5:$E$14,$E33,W$5:W$14)</f>
        <v>#DIV/0!</v>
      </c>
      <c r="X33" s="78" t="e">
        <f t="shared" si="31"/>
        <v>#DIV/0!</v>
      </c>
      <c r="Y33" s="78" t="e">
        <f t="shared" si="31"/>
        <v>#DIV/0!</v>
      </c>
      <c r="Z33" s="78" t="e">
        <f t="shared" si="31"/>
        <v>#DIV/0!</v>
      </c>
      <c r="AA33" s="78" t="e">
        <f t="shared" si="31"/>
        <v>#DIV/0!</v>
      </c>
      <c r="AB33" s="78" t="e">
        <f t="shared" si="31"/>
        <v>#DIV/0!</v>
      </c>
      <c r="AC33" s="78" t="e">
        <f t="shared" si="31"/>
        <v>#DIV/0!</v>
      </c>
      <c r="AD33" s="78" t="e">
        <f t="shared" si="31"/>
        <v>#DIV/0!</v>
      </c>
      <c r="AE33" s="78" t="e">
        <f t="shared" si="31"/>
        <v>#DIV/0!</v>
      </c>
      <c r="AF33" s="78" t="e">
        <f t="shared" si="31"/>
        <v>#DIV/0!</v>
      </c>
      <c r="AG33" s="78" t="e">
        <f t="shared" si="31"/>
        <v>#DIV/0!</v>
      </c>
      <c r="AH33" s="78" t="e">
        <f t="shared" si="31"/>
        <v>#DIV/0!</v>
      </c>
      <c r="AI33" s="78" t="e">
        <f t="shared" si="31"/>
        <v>#DIV/0!</v>
      </c>
      <c r="AJ33" s="78" t="e">
        <f t="shared" si="31"/>
        <v>#DIV/0!</v>
      </c>
      <c r="AK33" s="78" t="e">
        <f t="shared" si="31"/>
        <v>#DIV/0!</v>
      </c>
      <c r="AL33" s="78" t="e">
        <f t="shared" si="31"/>
        <v>#DIV/0!</v>
      </c>
      <c r="AM33" s="78" t="e">
        <f t="shared" si="31"/>
        <v>#DIV/0!</v>
      </c>
      <c r="AN33" s="78" t="e">
        <f t="shared" si="31"/>
        <v>#DIV/0!</v>
      </c>
      <c r="AO33" s="78" t="e">
        <f t="shared" si="31"/>
        <v>#DIV/0!</v>
      </c>
      <c r="AP33" s="78" t="e">
        <f t="shared" si="31"/>
        <v>#DIV/0!</v>
      </c>
      <c r="AQ33" s="78" t="e">
        <f t="shared" si="31"/>
        <v>#DIV/0!</v>
      </c>
      <c r="AR33" s="78" t="e">
        <f t="shared" si="31"/>
        <v>#DIV/0!</v>
      </c>
      <c r="AS33" s="78" t="e">
        <f t="shared" si="31"/>
        <v>#DIV/0!</v>
      </c>
      <c r="AT33" s="78" t="e">
        <f t="shared" si="31"/>
        <v>#DIV/0!</v>
      </c>
      <c r="AU33" s="78" t="e">
        <f t="shared" si="31"/>
        <v>#DIV/0!</v>
      </c>
      <c r="AV33" s="78" t="e">
        <f t="shared" si="31"/>
        <v>#DIV/0!</v>
      </c>
      <c r="AW33" s="78" t="e">
        <f t="shared" si="31"/>
        <v>#DIV/0!</v>
      </c>
      <c r="AX33" s="78" t="e">
        <f t="shared" si="31"/>
        <v>#DIV/0!</v>
      </c>
      <c r="AY33" s="78" t="e">
        <f t="shared" si="31"/>
        <v>#DIV/0!</v>
      </c>
      <c r="AZ33" s="78" t="e">
        <f t="shared" si="31"/>
        <v>#DIV/0!</v>
      </c>
      <c r="BA33" s="78" t="e">
        <f t="shared" si="31"/>
        <v>#DIV/0!</v>
      </c>
      <c r="BB33" s="78" t="e">
        <f t="shared" si="31"/>
        <v>#DIV/0!</v>
      </c>
      <c r="BC33" s="78" t="e">
        <f t="shared" si="31"/>
        <v>#DIV/0!</v>
      </c>
      <c r="BD33" s="78" t="e">
        <f t="shared" si="31"/>
        <v>#DIV/0!</v>
      </c>
      <c r="BE33" s="78" t="e">
        <f t="shared" si="31"/>
        <v>#DIV/0!</v>
      </c>
      <c r="BF33" s="78" t="e">
        <f t="shared" si="31"/>
        <v>#DIV/0!</v>
      </c>
      <c r="BG33" s="78" t="e">
        <f t="shared" si="31"/>
        <v>#DIV/0!</v>
      </c>
      <c r="BH33" s="78" t="e">
        <f t="shared" si="31"/>
        <v>#DIV/0!</v>
      </c>
      <c r="BI33" s="78" t="e">
        <f t="shared" si="31"/>
        <v>#DIV/0!</v>
      </c>
      <c r="BJ33" s="78" t="e">
        <f t="shared" si="31"/>
        <v>#DIV/0!</v>
      </c>
      <c r="BK33" s="78" t="e">
        <f t="shared" si="31"/>
        <v>#DIV/0!</v>
      </c>
      <c r="BL33" s="78" t="e">
        <f t="shared" si="31"/>
        <v>#DIV/0!</v>
      </c>
      <c r="BM33" s="78" t="e">
        <f t="shared" si="31"/>
        <v>#DIV/0!</v>
      </c>
      <c r="BN33" s="78" t="e">
        <f t="shared" si="31"/>
        <v>#DIV/0!</v>
      </c>
      <c r="BO33" s="78" t="e">
        <f t="shared" si="31"/>
        <v>#DIV/0!</v>
      </c>
      <c r="BP33" s="78" t="e">
        <f t="shared" si="31"/>
        <v>#DIV/0!</v>
      </c>
      <c r="BQ33" s="103" t="s">
        <v>9</v>
      </c>
      <c r="BR33" s="73" t="e">
        <f t="shared" ref="BR33:DK33" si="32">AVERAGEIF($E$5:$E$14,$E33,BR$5:BR$14)</f>
        <v>#DIV/0!</v>
      </c>
      <c r="BS33" s="73" t="e">
        <f t="shared" si="32"/>
        <v>#DIV/0!</v>
      </c>
      <c r="BT33" s="73" t="e">
        <f t="shared" si="32"/>
        <v>#DIV/0!</v>
      </c>
      <c r="BU33" s="73" t="e">
        <f t="shared" si="32"/>
        <v>#DIV/0!</v>
      </c>
      <c r="BV33" s="73" t="e">
        <f t="shared" si="32"/>
        <v>#DIV/0!</v>
      </c>
      <c r="BW33" s="73" t="e">
        <f t="shared" si="32"/>
        <v>#DIV/0!</v>
      </c>
      <c r="BX33" s="73" t="e">
        <f t="shared" si="32"/>
        <v>#DIV/0!</v>
      </c>
      <c r="BY33" s="73" t="e">
        <f t="shared" si="32"/>
        <v>#DIV/0!</v>
      </c>
      <c r="BZ33" s="73" t="e">
        <f t="shared" si="32"/>
        <v>#DIV/0!</v>
      </c>
      <c r="CA33" s="73" t="e">
        <f t="shared" si="32"/>
        <v>#DIV/0!</v>
      </c>
      <c r="CB33" s="73" t="e">
        <f t="shared" si="32"/>
        <v>#DIV/0!</v>
      </c>
      <c r="CC33" s="73" t="e">
        <f t="shared" si="32"/>
        <v>#DIV/0!</v>
      </c>
      <c r="CD33" s="73" t="e">
        <f t="shared" si="32"/>
        <v>#DIV/0!</v>
      </c>
      <c r="CE33" s="73" t="e">
        <f t="shared" si="32"/>
        <v>#DIV/0!</v>
      </c>
      <c r="CF33" s="73" t="e">
        <f t="shared" si="32"/>
        <v>#DIV/0!</v>
      </c>
      <c r="CG33" s="73" t="e">
        <f t="shared" si="32"/>
        <v>#DIV/0!</v>
      </c>
      <c r="CH33" s="73" t="e">
        <f t="shared" si="32"/>
        <v>#DIV/0!</v>
      </c>
      <c r="CI33" s="73" t="e">
        <f t="shared" si="32"/>
        <v>#DIV/0!</v>
      </c>
      <c r="CJ33" s="73" t="e">
        <f t="shared" si="32"/>
        <v>#DIV/0!</v>
      </c>
      <c r="CK33" s="73" t="e">
        <f t="shared" si="32"/>
        <v>#DIV/0!</v>
      </c>
      <c r="CL33" s="73" t="e">
        <f t="shared" si="32"/>
        <v>#DIV/0!</v>
      </c>
      <c r="CM33" s="73" t="e">
        <f t="shared" si="32"/>
        <v>#DIV/0!</v>
      </c>
      <c r="CN33" s="73" t="e">
        <f t="shared" si="32"/>
        <v>#DIV/0!</v>
      </c>
      <c r="CO33" s="73" t="e">
        <f t="shared" si="32"/>
        <v>#DIV/0!</v>
      </c>
      <c r="CP33" s="73" t="e">
        <f t="shared" si="32"/>
        <v>#DIV/0!</v>
      </c>
      <c r="CQ33" s="73" t="e">
        <f t="shared" si="32"/>
        <v>#DIV/0!</v>
      </c>
      <c r="CR33" s="73" t="e">
        <f t="shared" si="32"/>
        <v>#DIV/0!</v>
      </c>
      <c r="CS33" s="73" t="e">
        <f t="shared" si="32"/>
        <v>#DIV/0!</v>
      </c>
      <c r="CT33" s="73" t="e">
        <f t="shared" si="32"/>
        <v>#DIV/0!</v>
      </c>
      <c r="CU33" s="73" t="e">
        <f t="shared" si="32"/>
        <v>#DIV/0!</v>
      </c>
      <c r="CV33" s="73" t="e">
        <f t="shared" si="32"/>
        <v>#DIV/0!</v>
      </c>
      <c r="CW33" s="73" t="e">
        <f t="shared" si="32"/>
        <v>#DIV/0!</v>
      </c>
      <c r="CX33" s="73" t="e">
        <f t="shared" si="32"/>
        <v>#DIV/0!</v>
      </c>
      <c r="CY33" s="73" t="e">
        <f t="shared" si="32"/>
        <v>#DIV/0!</v>
      </c>
      <c r="CZ33" s="73" t="e">
        <f t="shared" si="32"/>
        <v>#DIV/0!</v>
      </c>
      <c r="DA33" s="73" t="e">
        <f t="shared" si="32"/>
        <v>#DIV/0!</v>
      </c>
      <c r="DB33" s="73" t="e">
        <f t="shared" si="32"/>
        <v>#DIV/0!</v>
      </c>
      <c r="DC33" s="73" t="e">
        <f t="shared" si="32"/>
        <v>#DIV/0!</v>
      </c>
      <c r="DD33" s="73" t="e">
        <f t="shared" si="32"/>
        <v>#DIV/0!</v>
      </c>
      <c r="DE33" s="73" t="e">
        <f t="shared" si="32"/>
        <v>#DIV/0!</v>
      </c>
      <c r="DF33" s="73" t="e">
        <f t="shared" si="32"/>
        <v>#DIV/0!</v>
      </c>
      <c r="DG33" s="73" t="e">
        <f t="shared" si="32"/>
        <v>#DIV/0!</v>
      </c>
      <c r="DH33" s="73" t="e">
        <f t="shared" si="32"/>
        <v>#DIV/0!</v>
      </c>
      <c r="DI33" s="73" t="e">
        <f t="shared" si="32"/>
        <v>#DIV/0!</v>
      </c>
      <c r="DJ33" s="73" t="e">
        <f t="shared" si="32"/>
        <v>#DIV/0!</v>
      </c>
      <c r="DK33" s="73" t="e">
        <f t="shared" si="32"/>
        <v>#DIV/0!</v>
      </c>
    </row>
    <row r="34" spans="1:115" ht="14.25" customHeight="1">
      <c r="A34" s="113"/>
      <c r="E34" s="93"/>
      <c r="I34" s="93"/>
      <c r="J34" s="305" t="e">
        <f t="array" ref="J34">_xlfn.STDEV.P(IF($E$5:$E$14=$E33,J$5:J$14))</f>
        <v>#DIV/0!</v>
      </c>
      <c r="K34" s="305"/>
      <c r="L34" s="305"/>
      <c r="M34" s="305" t="e">
        <f t="array" ref="M34">_xlfn.STDEV.P(IF($E$5:$E$14=$E33,M$5:M$14))</f>
        <v>#DIV/0!</v>
      </c>
      <c r="N34" s="305" t="e">
        <f t="array" ref="N34">_xlfn.STDEV.P(IF($E$5:$E$14=$E33,N$5:N$14))</f>
        <v>#DIV/0!</v>
      </c>
      <c r="O34" s="305" t="e">
        <f t="array" ref="O34">_xlfn.STDEV.P(IF($E$5:$E$14=$E33,O$5:O$14))</f>
        <v>#DIV/0!</v>
      </c>
      <c r="P34" s="305" t="e">
        <f t="array" ref="P34">_xlfn.STDEV.P(IF($E$5:$E$14=$E33,P$5:P$14))</f>
        <v>#DIV/0!</v>
      </c>
      <c r="Q34" s="305" t="e">
        <f t="array" ref="Q34">_xlfn.STDEV.P(IF($E$5:$E$14=$E33,Q$5:Q$14))</f>
        <v>#DIV/0!</v>
      </c>
      <c r="R34" s="305" t="e">
        <f t="array" ref="R34">_xlfn.STDEV.P(IF($E$5:$E$14=$E33,R$5:R$14))</f>
        <v>#DIV/0!</v>
      </c>
      <c r="S34" s="303"/>
      <c r="T34" s="303" t="e">
        <f t="array" ref="T34">_xlfn.STDEV.P(IF($E$5:$E$14=$E33,T$5:T$14))</f>
        <v>#DIV/0!</v>
      </c>
      <c r="U34" s="305" t="e">
        <f t="array" ref="U34">_xlfn.STDEV.P(IF($E$5:$E$14=$E33,U$5:U$14))</f>
        <v>#DIV/0!</v>
      </c>
      <c r="V34" s="72" t="s">
        <v>11</v>
      </c>
      <c r="W34" s="81" t="e">
        <f t="array" ref="W34">_xlfn.STDEV.P(IF($E$5:$E$14=$E33,W$5:W$14))</f>
        <v>#DIV/0!</v>
      </c>
      <c r="X34" s="81" t="e">
        <f t="array" ref="X34">_xlfn.STDEV.P(IF($E$5:$E$14=$E33,X$5:X$14))</f>
        <v>#DIV/0!</v>
      </c>
      <c r="Y34" s="81" t="e">
        <f t="array" ref="Y34">_xlfn.STDEV.P(IF($E$5:$E$14=$E33,Y$5:Y$14))</f>
        <v>#DIV/0!</v>
      </c>
      <c r="Z34" s="81" t="e">
        <f t="array" ref="Z34">_xlfn.STDEV.P(IF($E$5:$E$14=$E33,Z$5:Z$14))</f>
        <v>#DIV/0!</v>
      </c>
      <c r="AA34" s="81" t="e">
        <f t="array" ref="AA34">_xlfn.STDEV.P(IF($E$5:$E$14=$E33,AA$5:AA$14))</f>
        <v>#DIV/0!</v>
      </c>
      <c r="AB34" s="81" t="e">
        <f t="array" ref="AB34">_xlfn.STDEV.P(IF($E$5:$E$14=$E33,AB$5:AB$14))</f>
        <v>#DIV/0!</v>
      </c>
      <c r="AC34" s="81" t="e">
        <f t="array" ref="AC34">_xlfn.STDEV.P(IF($E$5:$E$14=$E33,AC$5:AC$14))</f>
        <v>#DIV/0!</v>
      </c>
      <c r="AD34" s="81" t="e">
        <f t="array" ref="AD34">_xlfn.STDEV.P(IF($E$5:$E$14=$E33,AD$5:AD$14))</f>
        <v>#DIV/0!</v>
      </c>
      <c r="AE34" s="81" t="e">
        <f t="array" ref="AE34">_xlfn.STDEV.P(IF($E$5:$E$14=$E33,AE$5:AE$14))</f>
        <v>#DIV/0!</v>
      </c>
      <c r="AF34" s="81" t="e">
        <f t="array" ref="AF34">_xlfn.STDEV.P(IF($E$5:$E$14=$E33,AF$5:AF$14))</f>
        <v>#DIV/0!</v>
      </c>
      <c r="AG34" s="81" t="e">
        <f t="array" ref="AG34">_xlfn.STDEV.P(IF($E$5:$E$14=$E33,AG$5:AG$14))</f>
        <v>#DIV/0!</v>
      </c>
      <c r="AH34" s="81" t="e">
        <f t="array" ref="AH34">_xlfn.STDEV.P(IF($E$5:$E$14=$E33,AH$5:AH$14))</f>
        <v>#DIV/0!</v>
      </c>
      <c r="AI34" s="81" t="e">
        <f t="array" ref="AI34">_xlfn.STDEV.P(IF($E$5:$E$14=$E33,AI$5:AI$14))</f>
        <v>#DIV/0!</v>
      </c>
      <c r="AJ34" s="81" t="e">
        <f t="array" ref="AJ34">_xlfn.STDEV.P(IF($E$5:$E$14=$E33,AJ$5:AJ$14))</f>
        <v>#DIV/0!</v>
      </c>
      <c r="AK34" s="81" t="e">
        <f t="array" ref="AK34">_xlfn.STDEV.P(IF($E$5:$E$14=$E33,AK$5:AK$14))</f>
        <v>#DIV/0!</v>
      </c>
      <c r="AL34" s="81" t="e">
        <f t="array" ref="AL34">_xlfn.STDEV.P(IF($E$5:$E$14=$E33,AL$5:AL$14))</f>
        <v>#DIV/0!</v>
      </c>
      <c r="AM34" s="81" t="e">
        <f t="array" ref="AM34">_xlfn.STDEV.P(IF($E$5:$E$14=$E33,AM$5:AM$14))</f>
        <v>#DIV/0!</v>
      </c>
      <c r="AN34" s="81" t="e">
        <f t="array" ref="AN34">_xlfn.STDEV.P(IF($E$5:$E$14=$E33,AN$5:AN$14))</f>
        <v>#DIV/0!</v>
      </c>
      <c r="AO34" s="81" t="e">
        <f t="array" ref="AO34">_xlfn.STDEV.P(IF($E$5:$E$14=$E33,AO$5:AO$14))</f>
        <v>#DIV/0!</v>
      </c>
      <c r="AP34" s="81" t="e">
        <f t="array" ref="AP34">_xlfn.STDEV.P(IF($E$5:$E$14=$E33,AP$5:AP$14))</f>
        <v>#DIV/0!</v>
      </c>
      <c r="AQ34" s="81" t="e">
        <f t="array" ref="AQ34">_xlfn.STDEV.P(IF($E$5:$E$14=$E33,AQ$5:AQ$14))</f>
        <v>#DIV/0!</v>
      </c>
      <c r="AR34" s="81" t="e">
        <f t="array" ref="AR34">_xlfn.STDEV.P(IF($E$5:$E$14=$E33,AR$5:AR$14))</f>
        <v>#DIV/0!</v>
      </c>
      <c r="AS34" s="81" t="e">
        <f t="array" ref="AS34">_xlfn.STDEV.P(IF($E$5:$E$14=$E33,AS$5:AS$14))</f>
        <v>#DIV/0!</v>
      </c>
      <c r="AT34" s="81" t="e">
        <f t="array" ref="AT34">_xlfn.STDEV.P(IF($E$5:$E$14=$E33,AT$5:AT$14))</f>
        <v>#DIV/0!</v>
      </c>
      <c r="AU34" s="81" t="e">
        <f t="array" ref="AU34">_xlfn.STDEV.P(IF($E$5:$E$14=$E33,AU$5:AU$14))</f>
        <v>#DIV/0!</v>
      </c>
      <c r="AV34" s="81" t="e">
        <f t="array" ref="AV34">_xlfn.STDEV.P(IF($E$5:$E$14=$E33,AV$5:AV$14))</f>
        <v>#DIV/0!</v>
      </c>
      <c r="AW34" s="81" t="e">
        <f t="array" ref="AW34">_xlfn.STDEV.P(IF($E$5:$E$14=$E33,AW$5:AW$14))</f>
        <v>#DIV/0!</v>
      </c>
      <c r="AX34" s="81" t="e">
        <f t="array" ref="AX34">_xlfn.STDEV.P(IF($E$5:$E$14=$E33,AX$5:AX$14))</f>
        <v>#DIV/0!</v>
      </c>
      <c r="AY34" s="81" t="e">
        <f t="array" ref="AY34">_xlfn.STDEV.P(IF($E$5:$E$14=$E33,AY$5:AY$14))</f>
        <v>#DIV/0!</v>
      </c>
      <c r="AZ34" s="81" t="e">
        <f t="array" ref="AZ34">_xlfn.STDEV.P(IF($E$5:$E$14=$E33,AZ$5:AZ$14))</f>
        <v>#DIV/0!</v>
      </c>
      <c r="BA34" s="81" t="e">
        <f t="array" ref="BA34">_xlfn.STDEV.P(IF($E$5:$E$14=$E33,BA$5:BA$14))</f>
        <v>#DIV/0!</v>
      </c>
      <c r="BB34" s="81" t="e">
        <f t="array" ref="BB34">_xlfn.STDEV.P(IF($E$5:$E$14=$E33,BB$5:BB$14))</f>
        <v>#DIV/0!</v>
      </c>
      <c r="BC34" s="81" t="e">
        <f t="array" ref="BC34">_xlfn.STDEV.P(IF($E$5:$E$14=$E33,BC$5:BC$14))</f>
        <v>#DIV/0!</v>
      </c>
      <c r="BD34" s="81" t="e">
        <f t="array" ref="BD34">_xlfn.STDEV.P(IF($E$5:$E$14=$E33,BD$5:BD$14))</f>
        <v>#DIV/0!</v>
      </c>
      <c r="BE34" s="81" t="e">
        <f t="array" ref="BE34">_xlfn.STDEV.P(IF($E$5:$E$14=$E33,BE$5:BE$14))</f>
        <v>#DIV/0!</v>
      </c>
      <c r="BF34" s="81" t="e">
        <f t="array" ref="BF34">_xlfn.STDEV.P(IF($E$5:$E$14=$E33,BF$5:BF$14))</f>
        <v>#DIV/0!</v>
      </c>
      <c r="BG34" s="81" t="e">
        <f t="array" ref="BG34">_xlfn.STDEV.P(IF($E$5:$E$14=$E33,BG$5:BG$14))</f>
        <v>#DIV/0!</v>
      </c>
      <c r="BH34" s="81" t="e">
        <f t="array" ref="BH34">_xlfn.STDEV.P(IF($E$5:$E$14=$E33,BH$5:BH$14))</f>
        <v>#DIV/0!</v>
      </c>
      <c r="BI34" s="81" t="e">
        <f t="array" ref="BI34">_xlfn.STDEV.P(IF($E$5:$E$14=$E33,BI$5:BI$14))</f>
        <v>#DIV/0!</v>
      </c>
      <c r="BJ34" s="81" t="e">
        <f t="array" ref="BJ34">_xlfn.STDEV.P(IF($E$5:$E$14=$E33,BJ$5:BJ$14))</f>
        <v>#DIV/0!</v>
      </c>
      <c r="BK34" s="81" t="e">
        <f t="array" ref="BK34">_xlfn.STDEV.P(IF($E$5:$E$14=$E33,BK$5:BK$14))</f>
        <v>#DIV/0!</v>
      </c>
      <c r="BL34" s="81" t="e">
        <f t="array" ref="BL34">_xlfn.STDEV.P(IF($E$5:$E$14=$E33,BL$5:BL$14))</f>
        <v>#DIV/0!</v>
      </c>
      <c r="BM34" s="81" t="e">
        <f t="array" ref="BM34">_xlfn.STDEV.P(IF($E$5:$E$14=$E33,BM$5:BM$14))</f>
        <v>#DIV/0!</v>
      </c>
      <c r="BN34" s="81" t="e">
        <f t="array" ref="BN34">_xlfn.STDEV.P(IF($E$5:$E$14=$E33,BN$5:BN$14))</f>
        <v>#DIV/0!</v>
      </c>
      <c r="BO34" s="81" t="e">
        <f t="array" ref="BO34">_xlfn.STDEV.P(IF($E$5:$E$14=$E33,BO$5:BO$14))</f>
        <v>#DIV/0!</v>
      </c>
      <c r="BP34" s="81" t="e">
        <f t="array" ref="BP34">_xlfn.STDEV.P(IF($E$5:$E$14=$E33,BP$5:BP$14))</f>
        <v>#DIV/0!</v>
      </c>
      <c r="BQ34" s="104" t="s">
        <v>11</v>
      </c>
      <c r="BR34" s="74" t="e">
        <f t="array" ref="BR34">_xlfn.STDEV.P(IF($E$5:$E$14=$E33,BR$5:BR$14))</f>
        <v>#DIV/0!</v>
      </c>
      <c r="BS34" s="74" t="e">
        <f t="array" ref="BS34">_xlfn.STDEV.P(IF($E$5:$E$14=$E33,BS$5:BS$14))</f>
        <v>#DIV/0!</v>
      </c>
      <c r="BT34" s="74" t="e">
        <f t="array" ref="BT34">_xlfn.STDEV.P(IF($E$5:$E$14=$E33,BT$5:BT$14))</f>
        <v>#DIV/0!</v>
      </c>
      <c r="BU34" s="74" t="e">
        <f t="array" ref="BU34">_xlfn.STDEV.P(IF($E$5:$E$14=$E33,BU$5:BU$14))</f>
        <v>#DIV/0!</v>
      </c>
      <c r="BV34" s="74" t="e">
        <f t="array" ref="BV34">_xlfn.STDEV.P(IF($E$5:$E$14=$E33,BV$5:BV$14))</f>
        <v>#DIV/0!</v>
      </c>
      <c r="BW34" s="74" t="e">
        <f t="array" ref="BW34">_xlfn.STDEV.P(IF($E$5:$E$14=$E33,BW$5:BW$14))</f>
        <v>#DIV/0!</v>
      </c>
      <c r="BX34" s="74" t="e">
        <f t="array" ref="BX34">_xlfn.STDEV.P(IF($E$5:$E$14=$E33,BX$5:BX$14))</f>
        <v>#DIV/0!</v>
      </c>
      <c r="BY34" s="74" t="e">
        <f t="array" ref="BY34">_xlfn.STDEV.P(IF($E$5:$E$14=$E33,BY$5:BY$14))</f>
        <v>#DIV/0!</v>
      </c>
      <c r="BZ34" s="74" t="e">
        <f t="array" ref="BZ34">_xlfn.STDEV.P(IF($E$5:$E$14=$E33,BZ$5:BZ$14))</f>
        <v>#DIV/0!</v>
      </c>
      <c r="CA34" s="74" t="e">
        <f t="array" ref="CA34">_xlfn.STDEV.P(IF($E$5:$E$14=$E33,CA$5:CA$14))</f>
        <v>#DIV/0!</v>
      </c>
      <c r="CB34" s="74" t="e">
        <f t="array" ref="CB34">_xlfn.STDEV.P(IF($E$5:$E$14=$E33,CB$5:CB$14))</f>
        <v>#DIV/0!</v>
      </c>
      <c r="CC34" s="74" t="e">
        <f t="array" ref="CC34">_xlfn.STDEV.P(IF($E$5:$E$14=$E33,CC$5:CC$14))</f>
        <v>#DIV/0!</v>
      </c>
      <c r="CD34" s="74" t="e">
        <f t="array" ref="CD34">_xlfn.STDEV.P(IF($E$5:$E$14=$E33,CD$5:CD$14))</f>
        <v>#DIV/0!</v>
      </c>
      <c r="CE34" s="74" t="e">
        <f t="array" ref="CE34">_xlfn.STDEV.P(IF($E$5:$E$14=$E33,CE$5:CE$14))</f>
        <v>#DIV/0!</v>
      </c>
      <c r="CF34" s="74" t="e">
        <f t="array" ref="CF34">_xlfn.STDEV.P(IF($E$5:$E$14=$E33,CF$5:CF$14))</f>
        <v>#DIV/0!</v>
      </c>
      <c r="CG34" s="74" t="e">
        <f t="array" ref="CG34">_xlfn.STDEV.P(IF($E$5:$E$14=$E33,CG$5:CG$14))</f>
        <v>#DIV/0!</v>
      </c>
      <c r="CH34" s="74" t="e">
        <f t="array" ref="CH34">_xlfn.STDEV.P(IF($E$5:$E$14=$E33,CH$5:CH$14))</f>
        <v>#DIV/0!</v>
      </c>
      <c r="CI34" s="74" t="e">
        <f t="array" ref="CI34">_xlfn.STDEV.P(IF($E$5:$E$14=$E33,CI$5:CI$14))</f>
        <v>#DIV/0!</v>
      </c>
      <c r="CJ34" s="74" t="e">
        <f t="array" ref="CJ34">_xlfn.STDEV.P(IF($E$5:$E$14=$E33,CJ$5:CJ$14))</f>
        <v>#DIV/0!</v>
      </c>
      <c r="CK34" s="74" t="e">
        <f t="array" ref="CK34">_xlfn.STDEV.P(IF($E$5:$E$14=$E33,CK$5:CK$14))</f>
        <v>#DIV/0!</v>
      </c>
      <c r="CL34" s="74" t="e">
        <f t="array" ref="CL34">_xlfn.STDEV.P(IF($E$5:$E$14=$E33,CL$5:CL$14))</f>
        <v>#DIV/0!</v>
      </c>
      <c r="CM34" s="74" t="e">
        <f t="array" ref="CM34">_xlfn.STDEV.P(IF($E$5:$E$14=$E33,CM$5:CM$14))</f>
        <v>#DIV/0!</v>
      </c>
      <c r="CN34" s="74" t="e">
        <f t="array" ref="CN34">_xlfn.STDEV.P(IF($E$5:$E$14=$E33,CN$5:CN$14))</f>
        <v>#DIV/0!</v>
      </c>
      <c r="CO34" s="74" t="e">
        <f t="array" ref="CO34">_xlfn.STDEV.P(IF($E$5:$E$14=$E33,CO$5:CO$14))</f>
        <v>#DIV/0!</v>
      </c>
      <c r="CP34" s="74" t="e">
        <f t="array" ref="CP34">_xlfn.STDEV.P(IF($E$5:$E$14=$E33,CP$5:CP$14))</f>
        <v>#DIV/0!</v>
      </c>
      <c r="CQ34" s="74" t="e">
        <f t="array" ref="CQ34">_xlfn.STDEV.P(IF($E$5:$E$14=$E33,CQ$5:CQ$14))</f>
        <v>#DIV/0!</v>
      </c>
      <c r="CR34" s="74" t="e">
        <f t="array" ref="CR34">_xlfn.STDEV.P(IF($E$5:$E$14=$E33,CR$5:CR$14))</f>
        <v>#DIV/0!</v>
      </c>
      <c r="CS34" s="74" t="e">
        <f t="array" ref="CS34">_xlfn.STDEV.P(IF($E$5:$E$14=$E33,CS$5:CS$14))</f>
        <v>#DIV/0!</v>
      </c>
      <c r="CT34" s="74" t="e">
        <f t="array" ref="CT34">_xlfn.STDEV.P(IF($E$5:$E$14=$E33,CT$5:CT$14))</f>
        <v>#DIV/0!</v>
      </c>
      <c r="CU34" s="74" t="e">
        <f t="array" ref="CU34">_xlfn.STDEV.P(IF($E$5:$E$14=$E33,CU$5:CU$14))</f>
        <v>#DIV/0!</v>
      </c>
      <c r="CV34" s="74" t="e">
        <f t="array" ref="CV34">_xlfn.STDEV.P(IF($E$5:$E$14=$E33,CV$5:CV$14))</f>
        <v>#DIV/0!</v>
      </c>
      <c r="CW34" s="74" t="e">
        <f t="array" ref="CW34">_xlfn.STDEV.P(IF($E$5:$E$14=$E33,CW$5:CW$14))</f>
        <v>#DIV/0!</v>
      </c>
      <c r="CX34" s="74" t="e">
        <f t="array" ref="CX34">_xlfn.STDEV.P(IF($E$5:$E$14=$E33,CX$5:CX$14))</f>
        <v>#DIV/0!</v>
      </c>
      <c r="CY34" s="74" t="e">
        <f t="array" ref="CY34">_xlfn.STDEV.P(IF($E$5:$E$14=$E33,CY$5:CY$14))</f>
        <v>#DIV/0!</v>
      </c>
      <c r="CZ34" s="74" t="e">
        <f t="array" ref="CZ34">_xlfn.STDEV.P(IF($E$5:$E$14=$E33,CZ$5:CZ$14))</f>
        <v>#DIV/0!</v>
      </c>
      <c r="DA34" s="74" t="e">
        <f t="array" ref="DA34">_xlfn.STDEV.P(IF($E$5:$E$14=$E33,DA$5:DA$14))</f>
        <v>#DIV/0!</v>
      </c>
      <c r="DB34" s="74" t="e">
        <f t="array" ref="DB34">_xlfn.STDEV.P(IF($E$5:$E$14=$E33,DB$5:DB$14))</f>
        <v>#DIV/0!</v>
      </c>
      <c r="DC34" s="74" t="e">
        <f t="array" ref="DC34">_xlfn.STDEV.P(IF($E$5:$E$14=$E33,DC$5:DC$14))</f>
        <v>#DIV/0!</v>
      </c>
      <c r="DD34" s="74" t="e">
        <f t="array" ref="DD34">_xlfn.STDEV.P(IF($E$5:$E$14=$E33,DD$5:DD$14))</f>
        <v>#DIV/0!</v>
      </c>
      <c r="DE34" s="74" t="e">
        <f t="array" ref="DE34">_xlfn.STDEV.P(IF($E$5:$E$14=$E33,DE$5:DE$14))</f>
        <v>#DIV/0!</v>
      </c>
      <c r="DF34" s="74" t="e">
        <f t="array" ref="DF34">_xlfn.STDEV.P(IF($E$5:$E$14=$E33,DF$5:DF$14))</f>
        <v>#DIV/0!</v>
      </c>
      <c r="DG34" s="74" t="e">
        <f t="array" ref="DG34">_xlfn.STDEV.P(IF($E$5:$E$14=$E33,DG$5:DG$14))</f>
        <v>#DIV/0!</v>
      </c>
      <c r="DH34" s="74" t="e">
        <f t="array" ref="DH34">_xlfn.STDEV.P(IF($E$5:$E$14=$E33,DH$5:DH$14))</f>
        <v>#DIV/0!</v>
      </c>
      <c r="DI34" s="74" t="e">
        <f t="array" ref="DI34">_xlfn.STDEV.P(IF($E$5:$E$14=$E33,DI$5:DI$14))</f>
        <v>#DIV/0!</v>
      </c>
      <c r="DJ34" s="74" t="e">
        <f t="array" ref="DJ34">_xlfn.STDEV.P(IF($E$5:$E$14=$E33,DJ$5:DJ$14))</f>
        <v>#DIV/0!</v>
      </c>
      <c r="DK34" s="74" t="e">
        <f t="array" ref="DK34">_xlfn.STDEV.P(IF($E$5:$E$14=$E33,DK$5:DK$14))</f>
        <v>#DIV/0!</v>
      </c>
    </row>
    <row r="35" spans="1:115" ht="15">
      <c r="A35" s="113"/>
      <c r="E35" s="118"/>
      <c r="I35" s="52"/>
      <c r="K35" s="57"/>
      <c r="L35" s="57"/>
      <c r="Q35" s="57"/>
      <c r="R35" s="57"/>
      <c r="U35" s="57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</row>
    <row r="36" spans="1:115" ht="14.25" customHeight="1">
      <c r="A36" s="113"/>
      <c r="E36" s="118" t="str">
        <f>'AsPc1 REPEAT Groups'!C10</f>
        <v>Group 5</v>
      </c>
      <c r="I36" s="118" t="str">
        <f>E36</f>
        <v>Group 5</v>
      </c>
      <c r="J36" s="305" t="e">
        <f>AVERAGEIF($E$5:$E$14,$E36,J$5:J$14)</f>
        <v>#DIV/0!</v>
      </c>
      <c r="K36" s="305"/>
      <c r="L36" s="305"/>
      <c r="M36" s="305" t="e">
        <f t="shared" ref="M36:R36" si="33">AVERAGEIF($E$5:$E$14,$E36,M$5:M$14)</f>
        <v>#DIV/0!</v>
      </c>
      <c r="N36" s="305" t="e">
        <f t="shared" si="33"/>
        <v>#DIV/0!</v>
      </c>
      <c r="O36" s="305" t="e">
        <f t="shared" si="33"/>
        <v>#DIV/0!</v>
      </c>
      <c r="P36" s="305" t="e">
        <f t="shared" si="33"/>
        <v>#DIV/0!</v>
      </c>
      <c r="Q36" s="305" t="e">
        <f t="shared" si="33"/>
        <v>#DIV/0!</v>
      </c>
      <c r="R36" s="305" t="e">
        <f t="shared" si="33"/>
        <v>#DIV/0!</v>
      </c>
      <c r="S36" s="303"/>
      <c r="T36" s="303" t="e">
        <f>AVERAGEIF($E$5:$E$14,$E36,T$5:T$14)</f>
        <v>#DIV/0!</v>
      </c>
      <c r="U36" s="305" t="e">
        <f>AVERAGEIF($E$5:$E$14,$E36,U$5:U$14)</f>
        <v>#DIV/0!</v>
      </c>
      <c r="V36" s="72" t="s">
        <v>9</v>
      </c>
      <c r="W36" s="78" t="e">
        <f t="shared" ref="W36:BP36" si="34">AVERAGEIF($E$5:$E$14,$E36,W$5:W$14)</f>
        <v>#DIV/0!</v>
      </c>
      <c r="X36" s="78" t="e">
        <f t="shared" si="34"/>
        <v>#DIV/0!</v>
      </c>
      <c r="Y36" s="78" t="e">
        <f t="shared" si="34"/>
        <v>#DIV/0!</v>
      </c>
      <c r="Z36" s="78" t="e">
        <f t="shared" si="34"/>
        <v>#DIV/0!</v>
      </c>
      <c r="AA36" s="78" t="e">
        <f t="shared" si="34"/>
        <v>#DIV/0!</v>
      </c>
      <c r="AB36" s="78" t="e">
        <f t="shared" si="34"/>
        <v>#DIV/0!</v>
      </c>
      <c r="AC36" s="78" t="e">
        <f t="shared" si="34"/>
        <v>#DIV/0!</v>
      </c>
      <c r="AD36" s="78" t="e">
        <f t="shared" si="34"/>
        <v>#DIV/0!</v>
      </c>
      <c r="AE36" s="78" t="e">
        <f t="shared" si="34"/>
        <v>#DIV/0!</v>
      </c>
      <c r="AF36" s="78" t="e">
        <f t="shared" si="34"/>
        <v>#DIV/0!</v>
      </c>
      <c r="AG36" s="78" t="e">
        <f t="shared" si="34"/>
        <v>#DIV/0!</v>
      </c>
      <c r="AH36" s="78" t="e">
        <f t="shared" si="34"/>
        <v>#DIV/0!</v>
      </c>
      <c r="AI36" s="78" t="e">
        <f t="shared" si="34"/>
        <v>#DIV/0!</v>
      </c>
      <c r="AJ36" s="78" t="e">
        <f t="shared" si="34"/>
        <v>#DIV/0!</v>
      </c>
      <c r="AK36" s="78" t="e">
        <f t="shared" si="34"/>
        <v>#DIV/0!</v>
      </c>
      <c r="AL36" s="78" t="e">
        <f t="shared" si="34"/>
        <v>#DIV/0!</v>
      </c>
      <c r="AM36" s="78" t="e">
        <f t="shared" si="34"/>
        <v>#DIV/0!</v>
      </c>
      <c r="AN36" s="78" t="e">
        <f t="shared" si="34"/>
        <v>#DIV/0!</v>
      </c>
      <c r="AO36" s="78" t="e">
        <f t="shared" si="34"/>
        <v>#DIV/0!</v>
      </c>
      <c r="AP36" s="78" t="e">
        <f t="shared" si="34"/>
        <v>#DIV/0!</v>
      </c>
      <c r="AQ36" s="78" t="e">
        <f t="shared" si="34"/>
        <v>#DIV/0!</v>
      </c>
      <c r="AR36" s="78" t="e">
        <f t="shared" si="34"/>
        <v>#DIV/0!</v>
      </c>
      <c r="AS36" s="78" t="e">
        <f t="shared" si="34"/>
        <v>#DIV/0!</v>
      </c>
      <c r="AT36" s="78" t="e">
        <f t="shared" si="34"/>
        <v>#DIV/0!</v>
      </c>
      <c r="AU36" s="78" t="e">
        <f t="shared" si="34"/>
        <v>#DIV/0!</v>
      </c>
      <c r="AV36" s="78" t="e">
        <f t="shared" si="34"/>
        <v>#DIV/0!</v>
      </c>
      <c r="AW36" s="78" t="e">
        <f t="shared" si="34"/>
        <v>#DIV/0!</v>
      </c>
      <c r="AX36" s="78" t="e">
        <f t="shared" si="34"/>
        <v>#DIV/0!</v>
      </c>
      <c r="AY36" s="78" t="e">
        <f t="shared" si="34"/>
        <v>#DIV/0!</v>
      </c>
      <c r="AZ36" s="78" t="e">
        <f t="shared" si="34"/>
        <v>#DIV/0!</v>
      </c>
      <c r="BA36" s="78" t="e">
        <f t="shared" si="34"/>
        <v>#DIV/0!</v>
      </c>
      <c r="BB36" s="78" t="e">
        <f t="shared" si="34"/>
        <v>#DIV/0!</v>
      </c>
      <c r="BC36" s="78" t="e">
        <f t="shared" si="34"/>
        <v>#DIV/0!</v>
      </c>
      <c r="BD36" s="78" t="e">
        <f t="shared" si="34"/>
        <v>#DIV/0!</v>
      </c>
      <c r="BE36" s="78" t="e">
        <f t="shared" si="34"/>
        <v>#DIV/0!</v>
      </c>
      <c r="BF36" s="78" t="e">
        <f t="shared" si="34"/>
        <v>#DIV/0!</v>
      </c>
      <c r="BG36" s="78" t="e">
        <f t="shared" si="34"/>
        <v>#DIV/0!</v>
      </c>
      <c r="BH36" s="78" t="e">
        <f t="shared" si="34"/>
        <v>#DIV/0!</v>
      </c>
      <c r="BI36" s="78" t="e">
        <f t="shared" si="34"/>
        <v>#DIV/0!</v>
      </c>
      <c r="BJ36" s="78" t="e">
        <f t="shared" si="34"/>
        <v>#DIV/0!</v>
      </c>
      <c r="BK36" s="78" t="e">
        <f t="shared" si="34"/>
        <v>#DIV/0!</v>
      </c>
      <c r="BL36" s="78" t="e">
        <f t="shared" si="34"/>
        <v>#DIV/0!</v>
      </c>
      <c r="BM36" s="78" t="e">
        <f t="shared" si="34"/>
        <v>#DIV/0!</v>
      </c>
      <c r="BN36" s="78" t="e">
        <f t="shared" si="34"/>
        <v>#DIV/0!</v>
      </c>
      <c r="BO36" s="78" t="e">
        <f t="shared" si="34"/>
        <v>#DIV/0!</v>
      </c>
      <c r="BP36" s="78" t="e">
        <f t="shared" si="34"/>
        <v>#DIV/0!</v>
      </c>
      <c r="BQ36" s="103" t="s">
        <v>9</v>
      </c>
      <c r="BR36" s="73" t="e">
        <f t="shared" ref="BR36:DK36" si="35">AVERAGEIF($E$5:$E$14,$E36,BR$5:BR$14)</f>
        <v>#DIV/0!</v>
      </c>
      <c r="BS36" s="73" t="e">
        <f t="shared" si="35"/>
        <v>#DIV/0!</v>
      </c>
      <c r="BT36" s="73" t="e">
        <f t="shared" si="35"/>
        <v>#DIV/0!</v>
      </c>
      <c r="BU36" s="73" t="e">
        <f t="shared" si="35"/>
        <v>#DIV/0!</v>
      </c>
      <c r="BV36" s="73" t="e">
        <f t="shared" si="35"/>
        <v>#DIV/0!</v>
      </c>
      <c r="BW36" s="73" t="e">
        <f t="shared" si="35"/>
        <v>#DIV/0!</v>
      </c>
      <c r="BX36" s="73" t="e">
        <f t="shared" si="35"/>
        <v>#DIV/0!</v>
      </c>
      <c r="BY36" s="73" t="e">
        <f t="shared" si="35"/>
        <v>#DIV/0!</v>
      </c>
      <c r="BZ36" s="73" t="e">
        <f t="shared" si="35"/>
        <v>#DIV/0!</v>
      </c>
      <c r="CA36" s="73" t="e">
        <f t="shared" si="35"/>
        <v>#DIV/0!</v>
      </c>
      <c r="CB36" s="73" t="e">
        <f t="shared" si="35"/>
        <v>#DIV/0!</v>
      </c>
      <c r="CC36" s="73" t="e">
        <f t="shared" si="35"/>
        <v>#DIV/0!</v>
      </c>
      <c r="CD36" s="73" t="e">
        <f t="shared" si="35"/>
        <v>#DIV/0!</v>
      </c>
      <c r="CE36" s="73" t="e">
        <f t="shared" si="35"/>
        <v>#DIV/0!</v>
      </c>
      <c r="CF36" s="73" t="e">
        <f t="shared" si="35"/>
        <v>#DIV/0!</v>
      </c>
      <c r="CG36" s="73" t="e">
        <f t="shared" si="35"/>
        <v>#DIV/0!</v>
      </c>
      <c r="CH36" s="73" t="e">
        <f t="shared" si="35"/>
        <v>#DIV/0!</v>
      </c>
      <c r="CI36" s="73" t="e">
        <f t="shared" si="35"/>
        <v>#DIV/0!</v>
      </c>
      <c r="CJ36" s="73" t="e">
        <f t="shared" si="35"/>
        <v>#DIV/0!</v>
      </c>
      <c r="CK36" s="73" t="e">
        <f t="shared" si="35"/>
        <v>#DIV/0!</v>
      </c>
      <c r="CL36" s="73" t="e">
        <f t="shared" si="35"/>
        <v>#DIV/0!</v>
      </c>
      <c r="CM36" s="73" t="e">
        <f t="shared" si="35"/>
        <v>#DIV/0!</v>
      </c>
      <c r="CN36" s="73" t="e">
        <f t="shared" si="35"/>
        <v>#DIV/0!</v>
      </c>
      <c r="CO36" s="73" t="e">
        <f t="shared" si="35"/>
        <v>#DIV/0!</v>
      </c>
      <c r="CP36" s="73" t="e">
        <f t="shared" si="35"/>
        <v>#DIV/0!</v>
      </c>
      <c r="CQ36" s="73" t="e">
        <f t="shared" si="35"/>
        <v>#DIV/0!</v>
      </c>
      <c r="CR36" s="73" t="e">
        <f t="shared" si="35"/>
        <v>#DIV/0!</v>
      </c>
      <c r="CS36" s="73" t="e">
        <f t="shared" si="35"/>
        <v>#DIV/0!</v>
      </c>
      <c r="CT36" s="73" t="e">
        <f t="shared" si="35"/>
        <v>#DIV/0!</v>
      </c>
      <c r="CU36" s="73" t="e">
        <f t="shared" si="35"/>
        <v>#DIV/0!</v>
      </c>
      <c r="CV36" s="73" t="e">
        <f t="shared" si="35"/>
        <v>#DIV/0!</v>
      </c>
      <c r="CW36" s="73" t="e">
        <f t="shared" si="35"/>
        <v>#DIV/0!</v>
      </c>
      <c r="CX36" s="73" t="e">
        <f t="shared" si="35"/>
        <v>#DIV/0!</v>
      </c>
      <c r="CY36" s="73" t="e">
        <f t="shared" si="35"/>
        <v>#DIV/0!</v>
      </c>
      <c r="CZ36" s="73" t="e">
        <f t="shared" si="35"/>
        <v>#DIV/0!</v>
      </c>
      <c r="DA36" s="73" t="e">
        <f t="shared" si="35"/>
        <v>#DIV/0!</v>
      </c>
      <c r="DB36" s="73" t="e">
        <f t="shared" si="35"/>
        <v>#DIV/0!</v>
      </c>
      <c r="DC36" s="73" t="e">
        <f t="shared" si="35"/>
        <v>#DIV/0!</v>
      </c>
      <c r="DD36" s="73" t="e">
        <f t="shared" si="35"/>
        <v>#DIV/0!</v>
      </c>
      <c r="DE36" s="73" t="e">
        <f t="shared" si="35"/>
        <v>#DIV/0!</v>
      </c>
      <c r="DF36" s="73" t="e">
        <f t="shared" si="35"/>
        <v>#DIV/0!</v>
      </c>
      <c r="DG36" s="73" t="e">
        <f t="shared" si="35"/>
        <v>#DIV/0!</v>
      </c>
      <c r="DH36" s="73" t="e">
        <f t="shared" si="35"/>
        <v>#DIV/0!</v>
      </c>
      <c r="DI36" s="73" t="e">
        <f t="shared" si="35"/>
        <v>#DIV/0!</v>
      </c>
      <c r="DJ36" s="73" t="e">
        <f t="shared" si="35"/>
        <v>#DIV/0!</v>
      </c>
      <c r="DK36" s="73" t="e">
        <f t="shared" si="35"/>
        <v>#DIV/0!</v>
      </c>
    </row>
    <row r="37" spans="1:115" ht="14.25" customHeight="1">
      <c r="A37" s="113"/>
      <c r="E37" s="93"/>
      <c r="I37" s="93"/>
      <c r="J37" s="305" t="e">
        <f t="array" ref="J37">_xlfn.STDEV.P(IF($E$5:$E$14=$E36,J$5:J$14))</f>
        <v>#DIV/0!</v>
      </c>
      <c r="K37" s="305"/>
      <c r="L37" s="305"/>
      <c r="M37" s="305" t="e">
        <f t="array" ref="M37">_xlfn.STDEV.P(IF($E$5:$E$14=$E36,M$5:M$14))</f>
        <v>#DIV/0!</v>
      </c>
      <c r="N37" s="305" t="e">
        <f t="array" ref="N37">_xlfn.STDEV.P(IF($E$5:$E$14=$E36,N$5:N$14))</f>
        <v>#DIV/0!</v>
      </c>
      <c r="O37" s="305" t="e">
        <f t="array" ref="O37">_xlfn.STDEV.P(IF($E$5:$E$14=$E36,O$5:O$14))</f>
        <v>#DIV/0!</v>
      </c>
      <c r="P37" s="305" t="e">
        <f t="array" ref="P37">_xlfn.STDEV.P(IF($E$5:$E$14=$E36,P$5:P$14))</f>
        <v>#DIV/0!</v>
      </c>
      <c r="Q37" s="305" t="e">
        <f t="array" ref="Q37">_xlfn.STDEV.P(IF($E$5:$E$14=$E36,Q$5:Q$14))</f>
        <v>#DIV/0!</v>
      </c>
      <c r="R37" s="305" t="e">
        <f t="array" ref="R37">_xlfn.STDEV.P(IF($E$5:$E$14=$E36,R$5:R$14))</f>
        <v>#DIV/0!</v>
      </c>
      <c r="S37" s="303"/>
      <c r="T37" s="303" t="e">
        <f t="array" ref="T37">_xlfn.STDEV.P(IF($E$5:$E$14=$E36,T$5:T$14))</f>
        <v>#DIV/0!</v>
      </c>
      <c r="U37" s="305" t="e">
        <f t="array" ref="U37">_xlfn.STDEV.P(IF($E$5:$E$14=$E36,U$5:U$14))</f>
        <v>#DIV/0!</v>
      </c>
      <c r="V37" s="72" t="s">
        <v>11</v>
      </c>
      <c r="W37" s="81" t="e">
        <f t="array" ref="W37">_xlfn.STDEV.P(IF($E$5:$E$14=$E36,W$5:W$14))</f>
        <v>#DIV/0!</v>
      </c>
      <c r="X37" s="81" t="e">
        <f t="array" ref="X37">_xlfn.STDEV.P(IF($E$5:$E$14=$E36,X$5:X$14))</f>
        <v>#DIV/0!</v>
      </c>
      <c r="Y37" s="81" t="e">
        <f t="array" ref="Y37">_xlfn.STDEV.P(IF($E$5:$E$14=$E36,Y$5:Y$14))</f>
        <v>#DIV/0!</v>
      </c>
      <c r="Z37" s="81" t="e">
        <f t="array" ref="Z37">_xlfn.STDEV.P(IF($E$5:$E$14=$E36,Z$5:Z$14))</f>
        <v>#DIV/0!</v>
      </c>
      <c r="AA37" s="81" t="e">
        <f t="array" ref="AA37">_xlfn.STDEV.P(IF($E$5:$E$14=$E36,AA$5:AA$14))</f>
        <v>#DIV/0!</v>
      </c>
      <c r="AB37" s="81" t="e">
        <f t="array" ref="AB37">_xlfn.STDEV.P(IF($E$5:$E$14=$E36,AB$5:AB$14))</f>
        <v>#DIV/0!</v>
      </c>
      <c r="AC37" s="81" t="e">
        <f t="array" ref="AC37">_xlfn.STDEV.P(IF($E$5:$E$14=$E36,AC$5:AC$14))</f>
        <v>#DIV/0!</v>
      </c>
      <c r="AD37" s="81" t="e">
        <f t="array" ref="AD37">_xlfn.STDEV.P(IF($E$5:$E$14=$E36,AD$5:AD$14))</f>
        <v>#DIV/0!</v>
      </c>
      <c r="AE37" s="81" t="e">
        <f t="array" ref="AE37">_xlfn.STDEV.P(IF($E$5:$E$14=$E36,AE$5:AE$14))</f>
        <v>#DIV/0!</v>
      </c>
      <c r="AF37" s="81" t="e">
        <f t="array" ref="AF37">_xlfn.STDEV.P(IF($E$5:$E$14=$E36,AF$5:AF$14))</f>
        <v>#DIV/0!</v>
      </c>
      <c r="AG37" s="81" t="e">
        <f t="array" ref="AG37">_xlfn.STDEV.P(IF($E$5:$E$14=$E36,AG$5:AG$14))</f>
        <v>#DIV/0!</v>
      </c>
      <c r="AH37" s="81" t="e">
        <f t="array" ref="AH37">_xlfn.STDEV.P(IF($E$5:$E$14=$E36,AH$5:AH$14))</f>
        <v>#DIV/0!</v>
      </c>
      <c r="AI37" s="81" t="e">
        <f t="array" ref="AI37">_xlfn.STDEV.P(IF($E$5:$E$14=$E36,AI$5:AI$14))</f>
        <v>#DIV/0!</v>
      </c>
      <c r="AJ37" s="81" t="e">
        <f t="array" ref="AJ37">_xlfn.STDEV.P(IF($E$5:$E$14=$E36,AJ$5:AJ$14))</f>
        <v>#DIV/0!</v>
      </c>
      <c r="AK37" s="81" t="e">
        <f t="array" ref="AK37">_xlfn.STDEV.P(IF($E$5:$E$14=$E36,AK$5:AK$14))</f>
        <v>#DIV/0!</v>
      </c>
      <c r="AL37" s="81" t="e">
        <f t="array" ref="AL37">_xlfn.STDEV.P(IF($E$5:$E$14=$E36,AL$5:AL$14))</f>
        <v>#DIV/0!</v>
      </c>
      <c r="AM37" s="81" t="e">
        <f t="array" ref="AM37">_xlfn.STDEV.P(IF($E$5:$E$14=$E36,AM$5:AM$14))</f>
        <v>#DIV/0!</v>
      </c>
      <c r="AN37" s="81" t="e">
        <f t="array" ref="AN37">_xlfn.STDEV.P(IF($E$5:$E$14=$E36,AN$5:AN$14))</f>
        <v>#DIV/0!</v>
      </c>
      <c r="AO37" s="81" t="e">
        <f t="array" ref="AO37">_xlfn.STDEV.P(IF($E$5:$E$14=$E36,AO$5:AO$14))</f>
        <v>#DIV/0!</v>
      </c>
      <c r="AP37" s="81" t="e">
        <f t="array" ref="AP37">_xlfn.STDEV.P(IF($E$5:$E$14=$E36,AP$5:AP$14))</f>
        <v>#DIV/0!</v>
      </c>
      <c r="AQ37" s="81" t="e">
        <f t="array" ref="AQ37">_xlfn.STDEV.P(IF($E$5:$E$14=$E36,AQ$5:AQ$14))</f>
        <v>#DIV/0!</v>
      </c>
      <c r="AR37" s="81" t="e">
        <f t="array" ref="AR37">_xlfn.STDEV.P(IF($E$5:$E$14=$E36,AR$5:AR$14))</f>
        <v>#DIV/0!</v>
      </c>
      <c r="AS37" s="81" t="e">
        <f t="array" ref="AS37">_xlfn.STDEV.P(IF($E$5:$E$14=$E36,AS$5:AS$14))</f>
        <v>#DIV/0!</v>
      </c>
      <c r="AT37" s="81" t="e">
        <f t="array" ref="AT37">_xlfn.STDEV.P(IF($E$5:$E$14=$E36,AT$5:AT$14))</f>
        <v>#DIV/0!</v>
      </c>
      <c r="AU37" s="81" t="e">
        <f t="array" ref="AU37">_xlfn.STDEV.P(IF($E$5:$E$14=$E36,AU$5:AU$14))</f>
        <v>#DIV/0!</v>
      </c>
      <c r="AV37" s="81" t="e">
        <f t="array" ref="AV37">_xlfn.STDEV.P(IF($E$5:$E$14=$E36,AV$5:AV$14))</f>
        <v>#DIV/0!</v>
      </c>
      <c r="AW37" s="81" t="e">
        <f t="array" ref="AW37">_xlfn.STDEV.P(IF($E$5:$E$14=$E36,AW$5:AW$14))</f>
        <v>#DIV/0!</v>
      </c>
      <c r="AX37" s="81" t="e">
        <f t="array" ref="AX37">_xlfn.STDEV.P(IF($E$5:$E$14=$E36,AX$5:AX$14))</f>
        <v>#DIV/0!</v>
      </c>
      <c r="AY37" s="81" t="e">
        <f t="array" ref="AY37">_xlfn.STDEV.P(IF($E$5:$E$14=$E36,AY$5:AY$14))</f>
        <v>#DIV/0!</v>
      </c>
      <c r="AZ37" s="81" t="e">
        <f t="array" ref="AZ37">_xlfn.STDEV.P(IF($E$5:$E$14=$E36,AZ$5:AZ$14))</f>
        <v>#DIV/0!</v>
      </c>
      <c r="BA37" s="81" t="e">
        <f t="array" ref="BA37">_xlfn.STDEV.P(IF($E$5:$E$14=$E36,BA$5:BA$14))</f>
        <v>#DIV/0!</v>
      </c>
      <c r="BB37" s="81" t="e">
        <f t="array" ref="BB37">_xlfn.STDEV.P(IF($E$5:$E$14=$E36,BB$5:BB$14))</f>
        <v>#DIV/0!</v>
      </c>
      <c r="BC37" s="81" t="e">
        <f t="array" ref="BC37">_xlfn.STDEV.P(IF($E$5:$E$14=$E36,BC$5:BC$14))</f>
        <v>#DIV/0!</v>
      </c>
      <c r="BD37" s="81" t="e">
        <f t="array" ref="BD37">_xlfn.STDEV.P(IF($E$5:$E$14=$E36,BD$5:BD$14))</f>
        <v>#DIV/0!</v>
      </c>
      <c r="BE37" s="81" t="e">
        <f t="array" ref="BE37">_xlfn.STDEV.P(IF($E$5:$E$14=$E36,BE$5:BE$14))</f>
        <v>#DIV/0!</v>
      </c>
      <c r="BF37" s="81" t="e">
        <f t="array" ref="BF37">_xlfn.STDEV.P(IF($E$5:$E$14=$E36,BF$5:BF$14))</f>
        <v>#DIV/0!</v>
      </c>
      <c r="BG37" s="81" t="e">
        <f t="array" ref="BG37">_xlfn.STDEV.P(IF($E$5:$E$14=$E36,BG$5:BG$14))</f>
        <v>#DIV/0!</v>
      </c>
      <c r="BH37" s="81" t="e">
        <f t="array" ref="BH37">_xlfn.STDEV.P(IF($E$5:$E$14=$E36,BH$5:BH$14))</f>
        <v>#DIV/0!</v>
      </c>
      <c r="BI37" s="81" t="e">
        <f t="array" ref="BI37">_xlfn.STDEV.P(IF($E$5:$E$14=$E36,BI$5:BI$14))</f>
        <v>#DIV/0!</v>
      </c>
      <c r="BJ37" s="81" t="e">
        <f t="array" ref="BJ37">_xlfn.STDEV.P(IF($E$5:$E$14=$E36,BJ$5:BJ$14))</f>
        <v>#DIV/0!</v>
      </c>
      <c r="BK37" s="81" t="e">
        <f t="array" ref="BK37">_xlfn.STDEV.P(IF($E$5:$E$14=$E36,BK$5:BK$14))</f>
        <v>#DIV/0!</v>
      </c>
      <c r="BL37" s="81" t="e">
        <f t="array" ref="BL37">_xlfn.STDEV.P(IF($E$5:$E$14=$E36,BL$5:BL$14))</f>
        <v>#DIV/0!</v>
      </c>
      <c r="BM37" s="81" t="e">
        <f t="array" ref="BM37">_xlfn.STDEV.P(IF($E$5:$E$14=$E36,BM$5:BM$14))</f>
        <v>#DIV/0!</v>
      </c>
      <c r="BN37" s="81" t="e">
        <f t="array" ref="BN37">_xlfn.STDEV.P(IF($E$5:$E$14=$E36,BN$5:BN$14))</f>
        <v>#DIV/0!</v>
      </c>
      <c r="BO37" s="81" t="e">
        <f t="array" ref="BO37">_xlfn.STDEV.P(IF($E$5:$E$14=$E36,BO$5:BO$14))</f>
        <v>#DIV/0!</v>
      </c>
      <c r="BP37" s="81" t="e">
        <f t="array" ref="BP37">_xlfn.STDEV.P(IF($E$5:$E$14=$E36,BP$5:BP$14))</f>
        <v>#DIV/0!</v>
      </c>
      <c r="BQ37" s="104" t="s">
        <v>11</v>
      </c>
      <c r="BR37" s="74" t="e">
        <f t="array" ref="BR37">_xlfn.STDEV.P(IF($E$5:$E$14=$E36,BR$5:BR$14))</f>
        <v>#DIV/0!</v>
      </c>
      <c r="BS37" s="74" t="e">
        <f t="array" ref="BS37">_xlfn.STDEV.P(IF($E$5:$E$14=$E36,BS$5:BS$14))</f>
        <v>#DIV/0!</v>
      </c>
      <c r="BT37" s="74" t="e">
        <f t="array" ref="BT37">_xlfn.STDEV.P(IF($E$5:$E$14=$E36,BT$5:BT$14))</f>
        <v>#DIV/0!</v>
      </c>
      <c r="BU37" s="74" t="e">
        <f t="array" ref="BU37">_xlfn.STDEV.P(IF($E$5:$E$14=$E36,BU$5:BU$14))</f>
        <v>#DIV/0!</v>
      </c>
      <c r="BV37" s="74" t="e">
        <f t="array" ref="BV37">_xlfn.STDEV.P(IF($E$5:$E$14=$E36,BV$5:BV$14))</f>
        <v>#DIV/0!</v>
      </c>
      <c r="BW37" s="74" t="e">
        <f t="array" ref="BW37">_xlfn.STDEV.P(IF($E$5:$E$14=$E36,BW$5:BW$14))</f>
        <v>#DIV/0!</v>
      </c>
      <c r="BX37" s="74" t="e">
        <f t="array" ref="BX37">_xlfn.STDEV.P(IF($E$5:$E$14=$E36,BX$5:BX$14))</f>
        <v>#DIV/0!</v>
      </c>
      <c r="BY37" s="74" t="e">
        <f t="array" ref="BY37">_xlfn.STDEV.P(IF($E$5:$E$14=$E36,BY$5:BY$14))</f>
        <v>#DIV/0!</v>
      </c>
      <c r="BZ37" s="74" t="e">
        <f t="array" ref="BZ37">_xlfn.STDEV.P(IF($E$5:$E$14=$E36,BZ$5:BZ$14))</f>
        <v>#DIV/0!</v>
      </c>
      <c r="CA37" s="74" t="e">
        <f t="array" ref="CA37">_xlfn.STDEV.P(IF($E$5:$E$14=$E36,CA$5:CA$14))</f>
        <v>#DIV/0!</v>
      </c>
      <c r="CB37" s="74" t="e">
        <f t="array" ref="CB37">_xlfn.STDEV.P(IF($E$5:$E$14=$E36,CB$5:CB$14))</f>
        <v>#DIV/0!</v>
      </c>
      <c r="CC37" s="74" t="e">
        <f t="array" ref="CC37">_xlfn.STDEV.P(IF($E$5:$E$14=$E36,CC$5:CC$14))</f>
        <v>#DIV/0!</v>
      </c>
      <c r="CD37" s="74" t="e">
        <f t="array" ref="CD37">_xlfn.STDEV.P(IF($E$5:$E$14=$E36,CD$5:CD$14))</f>
        <v>#DIV/0!</v>
      </c>
      <c r="CE37" s="74" t="e">
        <f t="array" ref="CE37">_xlfn.STDEV.P(IF($E$5:$E$14=$E36,CE$5:CE$14))</f>
        <v>#DIV/0!</v>
      </c>
      <c r="CF37" s="74" t="e">
        <f t="array" ref="CF37">_xlfn.STDEV.P(IF($E$5:$E$14=$E36,CF$5:CF$14))</f>
        <v>#DIV/0!</v>
      </c>
      <c r="CG37" s="74" t="e">
        <f t="array" ref="CG37">_xlfn.STDEV.P(IF($E$5:$E$14=$E36,CG$5:CG$14))</f>
        <v>#DIV/0!</v>
      </c>
      <c r="CH37" s="74" t="e">
        <f t="array" ref="CH37">_xlfn.STDEV.P(IF($E$5:$E$14=$E36,CH$5:CH$14))</f>
        <v>#DIV/0!</v>
      </c>
      <c r="CI37" s="74" t="e">
        <f t="array" ref="CI37">_xlfn.STDEV.P(IF($E$5:$E$14=$E36,CI$5:CI$14))</f>
        <v>#DIV/0!</v>
      </c>
      <c r="CJ37" s="74" t="e">
        <f t="array" ref="CJ37">_xlfn.STDEV.P(IF($E$5:$E$14=$E36,CJ$5:CJ$14))</f>
        <v>#DIV/0!</v>
      </c>
      <c r="CK37" s="74" t="e">
        <f t="array" ref="CK37">_xlfn.STDEV.P(IF($E$5:$E$14=$E36,CK$5:CK$14))</f>
        <v>#DIV/0!</v>
      </c>
      <c r="CL37" s="74" t="e">
        <f t="array" ref="CL37">_xlfn.STDEV.P(IF($E$5:$E$14=$E36,CL$5:CL$14))</f>
        <v>#DIV/0!</v>
      </c>
      <c r="CM37" s="74" t="e">
        <f t="array" ref="CM37">_xlfn.STDEV.P(IF($E$5:$E$14=$E36,CM$5:CM$14))</f>
        <v>#DIV/0!</v>
      </c>
      <c r="CN37" s="74" t="e">
        <f t="array" ref="CN37">_xlfn.STDEV.P(IF($E$5:$E$14=$E36,CN$5:CN$14))</f>
        <v>#DIV/0!</v>
      </c>
      <c r="CO37" s="74" t="e">
        <f t="array" ref="CO37">_xlfn.STDEV.P(IF($E$5:$E$14=$E36,CO$5:CO$14))</f>
        <v>#DIV/0!</v>
      </c>
      <c r="CP37" s="74" t="e">
        <f t="array" ref="CP37">_xlfn.STDEV.P(IF($E$5:$E$14=$E36,CP$5:CP$14))</f>
        <v>#DIV/0!</v>
      </c>
      <c r="CQ37" s="74" t="e">
        <f t="array" ref="CQ37">_xlfn.STDEV.P(IF($E$5:$E$14=$E36,CQ$5:CQ$14))</f>
        <v>#DIV/0!</v>
      </c>
      <c r="CR37" s="74" t="e">
        <f t="array" ref="CR37">_xlfn.STDEV.P(IF($E$5:$E$14=$E36,CR$5:CR$14))</f>
        <v>#DIV/0!</v>
      </c>
      <c r="CS37" s="74" t="e">
        <f t="array" ref="CS37">_xlfn.STDEV.P(IF($E$5:$E$14=$E36,CS$5:CS$14))</f>
        <v>#DIV/0!</v>
      </c>
      <c r="CT37" s="74" t="e">
        <f t="array" ref="CT37">_xlfn.STDEV.P(IF($E$5:$E$14=$E36,CT$5:CT$14))</f>
        <v>#DIV/0!</v>
      </c>
      <c r="CU37" s="74" t="e">
        <f t="array" ref="CU37">_xlfn.STDEV.P(IF($E$5:$E$14=$E36,CU$5:CU$14))</f>
        <v>#DIV/0!</v>
      </c>
      <c r="CV37" s="74" t="e">
        <f t="array" ref="CV37">_xlfn.STDEV.P(IF($E$5:$E$14=$E36,CV$5:CV$14))</f>
        <v>#DIV/0!</v>
      </c>
      <c r="CW37" s="74" t="e">
        <f t="array" ref="CW37">_xlfn.STDEV.P(IF($E$5:$E$14=$E36,CW$5:CW$14))</f>
        <v>#DIV/0!</v>
      </c>
      <c r="CX37" s="74" t="e">
        <f t="array" ref="CX37">_xlfn.STDEV.P(IF($E$5:$E$14=$E36,CX$5:CX$14))</f>
        <v>#DIV/0!</v>
      </c>
      <c r="CY37" s="74" t="e">
        <f t="array" ref="CY37">_xlfn.STDEV.P(IF($E$5:$E$14=$E36,CY$5:CY$14))</f>
        <v>#DIV/0!</v>
      </c>
      <c r="CZ37" s="74" t="e">
        <f t="array" ref="CZ37">_xlfn.STDEV.P(IF($E$5:$E$14=$E36,CZ$5:CZ$14))</f>
        <v>#DIV/0!</v>
      </c>
      <c r="DA37" s="74" t="e">
        <f t="array" ref="DA37">_xlfn.STDEV.P(IF($E$5:$E$14=$E36,DA$5:DA$14))</f>
        <v>#DIV/0!</v>
      </c>
      <c r="DB37" s="74" t="e">
        <f t="array" ref="DB37">_xlfn.STDEV.P(IF($E$5:$E$14=$E36,DB$5:DB$14))</f>
        <v>#DIV/0!</v>
      </c>
      <c r="DC37" s="74" t="e">
        <f t="array" ref="DC37">_xlfn.STDEV.P(IF($E$5:$E$14=$E36,DC$5:DC$14))</f>
        <v>#DIV/0!</v>
      </c>
      <c r="DD37" s="74" t="e">
        <f t="array" ref="DD37">_xlfn.STDEV.P(IF($E$5:$E$14=$E36,DD$5:DD$14))</f>
        <v>#DIV/0!</v>
      </c>
      <c r="DE37" s="74" t="e">
        <f t="array" ref="DE37">_xlfn.STDEV.P(IF($E$5:$E$14=$E36,DE$5:DE$14))</f>
        <v>#DIV/0!</v>
      </c>
      <c r="DF37" s="74" t="e">
        <f t="array" ref="DF37">_xlfn.STDEV.P(IF($E$5:$E$14=$E36,DF$5:DF$14))</f>
        <v>#DIV/0!</v>
      </c>
      <c r="DG37" s="74" t="e">
        <f t="array" ref="DG37">_xlfn.STDEV.P(IF($E$5:$E$14=$E36,DG$5:DG$14))</f>
        <v>#DIV/0!</v>
      </c>
      <c r="DH37" s="74" t="e">
        <f t="array" ref="DH37">_xlfn.STDEV.P(IF($E$5:$E$14=$E36,DH$5:DH$14))</f>
        <v>#DIV/0!</v>
      </c>
      <c r="DI37" s="74" t="e">
        <f t="array" ref="DI37">_xlfn.STDEV.P(IF($E$5:$E$14=$E36,DI$5:DI$14))</f>
        <v>#DIV/0!</v>
      </c>
      <c r="DJ37" s="74" t="e">
        <f t="array" ref="DJ37">_xlfn.STDEV.P(IF($E$5:$E$14=$E36,DJ$5:DJ$14))</f>
        <v>#DIV/0!</v>
      </c>
      <c r="DK37" s="74" t="e">
        <f t="array" ref="DK37">_xlfn.STDEV.P(IF($E$5:$E$14=$E36,DK$5:DK$14))</f>
        <v>#DIV/0!</v>
      </c>
    </row>
    <row r="38" spans="1:115" ht="15">
      <c r="A38" s="113"/>
      <c r="E38" s="118"/>
      <c r="I38" s="52"/>
      <c r="K38" s="57"/>
      <c r="L38" s="57"/>
      <c r="Q38" s="57"/>
      <c r="R38" s="57"/>
      <c r="U38" s="57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</row>
    <row r="39" spans="1:115" ht="14.25" customHeight="1">
      <c r="A39" s="113"/>
      <c r="E39" s="118" t="str">
        <f>'AsPc1 REPEAT Groups'!C11</f>
        <v>Group 6</v>
      </c>
      <c r="I39" s="118" t="str">
        <f>E39</f>
        <v>Group 6</v>
      </c>
      <c r="J39" s="305" t="e">
        <f>AVERAGEIF($E$5:$E$14,$E39,J$5:J$14)</f>
        <v>#DIV/0!</v>
      </c>
      <c r="K39" s="305"/>
      <c r="L39" s="305"/>
      <c r="M39" s="305" t="e">
        <f t="shared" ref="M39:R39" si="36">AVERAGEIF($E$5:$E$14,$E39,M$5:M$14)</f>
        <v>#DIV/0!</v>
      </c>
      <c r="N39" s="305" t="e">
        <f t="shared" si="36"/>
        <v>#DIV/0!</v>
      </c>
      <c r="O39" s="305" t="e">
        <f t="shared" si="36"/>
        <v>#DIV/0!</v>
      </c>
      <c r="P39" s="305" t="e">
        <f t="shared" si="36"/>
        <v>#DIV/0!</v>
      </c>
      <c r="Q39" s="305" t="e">
        <f t="shared" si="36"/>
        <v>#DIV/0!</v>
      </c>
      <c r="R39" s="305" t="e">
        <f t="shared" si="36"/>
        <v>#DIV/0!</v>
      </c>
      <c r="S39" s="303"/>
      <c r="T39" s="303" t="e">
        <f>AVERAGEIF($E$5:$E$14,$E39,T$5:T$14)</f>
        <v>#DIV/0!</v>
      </c>
      <c r="U39" s="305" t="e">
        <f>AVERAGEIF($E$5:$E$14,$E39,U$5:U$14)</f>
        <v>#DIV/0!</v>
      </c>
      <c r="V39" s="72" t="s">
        <v>9</v>
      </c>
      <c r="W39" s="78" t="e">
        <f t="shared" ref="W39:BP39" si="37">AVERAGEIF($E$5:$E$14,$E39,W$5:W$14)</f>
        <v>#DIV/0!</v>
      </c>
      <c r="X39" s="78" t="e">
        <f t="shared" si="37"/>
        <v>#DIV/0!</v>
      </c>
      <c r="Y39" s="78" t="e">
        <f t="shared" si="37"/>
        <v>#DIV/0!</v>
      </c>
      <c r="Z39" s="78" t="e">
        <f t="shared" si="37"/>
        <v>#DIV/0!</v>
      </c>
      <c r="AA39" s="78" t="e">
        <f t="shared" si="37"/>
        <v>#DIV/0!</v>
      </c>
      <c r="AB39" s="78" t="e">
        <f t="shared" si="37"/>
        <v>#DIV/0!</v>
      </c>
      <c r="AC39" s="78" t="e">
        <f t="shared" si="37"/>
        <v>#DIV/0!</v>
      </c>
      <c r="AD39" s="78" t="e">
        <f t="shared" si="37"/>
        <v>#DIV/0!</v>
      </c>
      <c r="AE39" s="78" t="e">
        <f t="shared" si="37"/>
        <v>#DIV/0!</v>
      </c>
      <c r="AF39" s="78" t="e">
        <f t="shared" si="37"/>
        <v>#DIV/0!</v>
      </c>
      <c r="AG39" s="78" t="e">
        <f t="shared" si="37"/>
        <v>#DIV/0!</v>
      </c>
      <c r="AH39" s="78" t="e">
        <f t="shared" si="37"/>
        <v>#DIV/0!</v>
      </c>
      <c r="AI39" s="78" t="e">
        <f t="shared" si="37"/>
        <v>#DIV/0!</v>
      </c>
      <c r="AJ39" s="78" t="e">
        <f t="shared" si="37"/>
        <v>#DIV/0!</v>
      </c>
      <c r="AK39" s="78" t="e">
        <f t="shared" si="37"/>
        <v>#DIV/0!</v>
      </c>
      <c r="AL39" s="78" t="e">
        <f t="shared" si="37"/>
        <v>#DIV/0!</v>
      </c>
      <c r="AM39" s="78" t="e">
        <f t="shared" si="37"/>
        <v>#DIV/0!</v>
      </c>
      <c r="AN39" s="78" t="e">
        <f t="shared" si="37"/>
        <v>#DIV/0!</v>
      </c>
      <c r="AO39" s="78" t="e">
        <f t="shared" si="37"/>
        <v>#DIV/0!</v>
      </c>
      <c r="AP39" s="78" t="e">
        <f t="shared" si="37"/>
        <v>#DIV/0!</v>
      </c>
      <c r="AQ39" s="78" t="e">
        <f t="shared" si="37"/>
        <v>#DIV/0!</v>
      </c>
      <c r="AR39" s="78" t="e">
        <f t="shared" si="37"/>
        <v>#DIV/0!</v>
      </c>
      <c r="AS39" s="78" t="e">
        <f t="shared" si="37"/>
        <v>#DIV/0!</v>
      </c>
      <c r="AT39" s="78" t="e">
        <f t="shared" si="37"/>
        <v>#DIV/0!</v>
      </c>
      <c r="AU39" s="78" t="e">
        <f t="shared" si="37"/>
        <v>#DIV/0!</v>
      </c>
      <c r="AV39" s="78" t="e">
        <f t="shared" si="37"/>
        <v>#DIV/0!</v>
      </c>
      <c r="AW39" s="78" t="e">
        <f t="shared" si="37"/>
        <v>#DIV/0!</v>
      </c>
      <c r="AX39" s="78" t="e">
        <f t="shared" si="37"/>
        <v>#DIV/0!</v>
      </c>
      <c r="AY39" s="78" t="e">
        <f t="shared" si="37"/>
        <v>#DIV/0!</v>
      </c>
      <c r="AZ39" s="78" t="e">
        <f t="shared" si="37"/>
        <v>#DIV/0!</v>
      </c>
      <c r="BA39" s="78" t="e">
        <f t="shared" si="37"/>
        <v>#DIV/0!</v>
      </c>
      <c r="BB39" s="78" t="e">
        <f t="shared" si="37"/>
        <v>#DIV/0!</v>
      </c>
      <c r="BC39" s="78" t="e">
        <f t="shared" si="37"/>
        <v>#DIV/0!</v>
      </c>
      <c r="BD39" s="78" t="e">
        <f t="shared" si="37"/>
        <v>#DIV/0!</v>
      </c>
      <c r="BE39" s="78" t="e">
        <f t="shared" si="37"/>
        <v>#DIV/0!</v>
      </c>
      <c r="BF39" s="78" t="e">
        <f t="shared" si="37"/>
        <v>#DIV/0!</v>
      </c>
      <c r="BG39" s="78" t="e">
        <f t="shared" si="37"/>
        <v>#DIV/0!</v>
      </c>
      <c r="BH39" s="78" t="e">
        <f t="shared" si="37"/>
        <v>#DIV/0!</v>
      </c>
      <c r="BI39" s="78" t="e">
        <f t="shared" si="37"/>
        <v>#DIV/0!</v>
      </c>
      <c r="BJ39" s="78" t="e">
        <f t="shared" si="37"/>
        <v>#DIV/0!</v>
      </c>
      <c r="BK39" s="78" t="e">
        <f t="shared" si="37"/>
        <v>#DIV/0!</v>
      </c>
      <c r="BL39" s="78" t="e">
        <f t="shared" si="37"/>
        <v>#DIV/0!</v>
      </c>
      <c r="BM39" s="78" t="e">
        <f t="shared" si="37"/>
        <v>#DIV/0!</v>
      </c>
      <c r="BN39" s="78" t="e">
        <f t="shared" si="37"/>
        <v>#DIV/0!</v>
      </c>
      <c r="BO39" s="78" t="e">
        <f t="shared" si="37"/>
        <v>#DIV/0!</v>
      </c>
      <c r="BP39" s="78" t="e">
        <f t="shared" si="37"/>
        <v>#DIV/0!</v>
      </c>
      <c r="BQ39" s="103" t="s">
        <v>9</v>
      </c>
      <c r="BR39" s="73" t="e">
        <f t="shared" ref="BR39:DK39" si="38">AVERAGEIF($E$5:$E$14,$E39,BR$5:BR$14)</f>
        <v>#DIV/0!</v>
      </c>
      <c r="BS39" s="73" t="e">
        <f t="shared" si="38"/>
        <v>#DIV/0!</v>
      </c>
      <c r="BT39" s="73" t="e">
        <f t="shared" si="38"/>
        <v>#DIV/0!</v>
      </c>
      <c r="BU39" s="73" t="e">
        <f t="shared" si="38"/>
        <v>#DIV/0!</v>
      </c>
      <c r="BV39" s="73" t="e">
        <f t="shared" si="38"/>
        <v>#DIV/0!</v>
      </c>
      <c r="BW39" s="73" t="e">
        <f t="shared" si="38"/>
        <v>#DIV/0!</v>
      </c>
      <c r="BX39" s="73" t="e">
        <f t="shared" si="38"/>
        <v>#DIV/0!</v>
      </c>
      <c r="BY39" s="73" t="e">
        <f t="shared" si="38"/>
        <v>#DIV/0!</v>
      </c>
      <c r="BZ39" s="73" t="e">
        <f t="shared" si="38"/>
        <v>#DIV/0!</v>
      </c>
      <c r="CA39" s="73" t="e">
        <f t="shared" si="38"/>
        <v>#DIV/0!</v>
      </c>
      <c r="CB39" s="73" t="e">
        <f t="shared" si="38"/>
        <v>#DIV/0!</v>
      </c>
      <c r="CC39" s="73" t="e">
        <f t="shared" si="38"/>
        <v>#DIV/0!</v>
      </c>
      <c r="CD39" s="73" t="e">
        <f t="shared" si="38"/>
        <v>#DIV/0!</v>
      </c>
      <c r="CE39" s="73" t="e">
        <f t="shared" si="38"/>
        <v>#DIV/0!</v>
      </c>
      <c r="CF39" s="73" t="e">
        <f t="shared" si="38"/>
        <v>#DIV/0!</v>
      </c>
      <c r="CG39" s="73" t="e">
        <f t="shared" si="38"/>
        <v>#DIV/0!</v>
      </c>
      <c r="CH39" s="73" t="e">
        <f t="shared" si="38"/>
        <v>#DIV/0!</v>
      </c>
      <c r="CI39" s="73" t="e">
        <f t="shared" si="38"/>
        <v>#DIV/0!</v>
      </c>
      <c r="CJ39" s="73" t="e">
        <f t="shared" si="38"/>
        <v>#DIV/0!</v>
      </c>
      <c r="CK39" s="73" t="e">
        <f t="shared" si="38"/>
        <v>#DIV/0!</v>
      </c>
      <c r="CL39" s="73" t="e">
        <f t="shared" si="38"/>
        <v>#DIV/0!</v>
      </c>
      <c r="CM39" s="73" t="e">
        <f t="shared" si="38"/>
        <v>#DIV/0!</v>
      </c>
      <c r="CN39" s="73" t="e">
        <f t="shared" si="38"/>
        <v>#DIV/0!</v>
      </c>
      <c r="CO39" s="73" t="e">
        <f t="shared" si="38"/>
        <v>#DIV/0!</v>
      </c>
      <c r="CP39" s="73" t="e">
        <f t="shared" si="38"/>
        <v>#DIV/0!</v>
      </c>
      <c r="CQ39" s="73" t="e">
        <f t="shared" si="38"/>
        <v>#DIV/0!</v>
      </c>
      <c r="CR39" s="73" t="e">
        <f t="shared" si="38"/>
        <v>#DIV/0!</v>
      </c>
      <c r="CS39" s="73" t="e">
        <f t="shared" si="38"/>
        <v>#DIV/0!</v>
      </c>
      <c r="CT39" s="73" t="e">
        <f t="shared" si="38"/>
        <v>#DIV/0!</v>
      </c>
      <c r="CU39" s="73" t="e">
        <f t="shared" si="38"/>
        <v>#DIV/0!</v>
      </c>
      <c r="CV39" s="73" t="e">
        <f t="shared" si="38"/>
        <v>#DIV/0!</v>
      </c>
      <c r="CW39" s="73" t="e">
        <f t="shared" si="38"/>
        <v>#DIV/0!</v>
      </c>
      <c r="CX39" s="73" t="e">
        <f t="shared" si="38"/>
        <v>#DIV/0!</v>
      </c>
      <c r="CY39" s="73" t="e">
        <f t="shared" si="38"/>
        <v>#DIV/0!</v>
      </c>
      <c r="CZ39" s="73" t="e">
        <f t="shared" si="38"/>
        <v>#DIV/0!</v>
      </c>
      <c r="DA39" s="73" t="e">
        <f t="shared" si="38"/>
        <v>#DIV/0!</v>
      </c>
      <c r="DB39" s="73" t="e">
        <f t="shared" si="38"/>
        <v>#DIV/0!</v>
      </c>
      <c r="DC39" s="73" t="e">
        <f t="shared" si="38"/>
        <v>#DIV/0!</v>
      </c>
      <c r="DD39" s="73" t="e">
        <f t="shared" si="38"/>
        <v>#DIV/0!</v>
      </c>
      <c r="DE39" s="73" t="e">
        <f t="shared" si="38"/>
        <v>#DIV/0!</v>
      </c>
      <c r="DF39" s="73" t="e">
        <f t="shared" si="38"/>
        <v>#DIV/0!</v>
      </c>
      <c r="DG39" s="73" t="e">
        <f t="shared" si="38"/>
        <v>#DIV/0!</v>
      </c>
      <c r="DH39" s="73" t="e">
        <f t="shared" si="38"/>
        <v>#DIV/0!</v>
      </c>
      <c r="DI39" s="73" t="e">
        <f t="shared" si="38"/>
        <v>#DIV/0!</v>
      </c>
      <c r="DJ39" s="73" t="e">
        <f t="shared" si="38"/>
        <v>#DIV/0!</v>
      </c>
      <c r="DK39" s="73" t="e">
        <f t="shared" si="38"/>
        <v>#DIV/0!</v>
      </c>
    </row>
    <row r="40" spans="1:115" ht="14.25" customHeight="1">
      <c r="A40" s="113"/>
      <c r="E40" s="93"/>
      <c r="I40" s="93"/>
      <c r="J40" s="305" t="e">
        <f t="array" ref="J40">_xlfn.STDEV.P(IF($E$5:$E$14=$E39,J$5:J$14))</f>
        <v>#DIV/0!</v>
      </c>
      <c r="K40" s="305"/>
      <c r="L40" s="305"/>
      <c r="M40" s="305" t="e">
        <f t="array" ref="M40">_xlfn.STDEV.P(IF($E$5:$E$14=$E39,M$5:M$14))</f>
        <v>#DIV/0!</v>
      </c>
      <c r="N40" s="305" t="e">
        <f t="array" ref="N40">_xlfn.STDEV.P(IF($E$5:$E$14=$E39,N$5:N$14))</f>
        <v>#DIV/0!</v>
      </c>
      <c r="O40" s="305" t="e">
        <f t="array" ref="O40">_xlfn.STDEV.P(IF($E$5:$E$14=$E39,O$5:O$14))</f>
        <v>#DIV/0!</v>
      </c>
      <c r="P40" s="305" t="e">
        <f t="array" ref="P40">_xlfn.STDEV.P(IF($E$5:$E$14=$E39,P$5:P$14))</f>
        <v>#DIV/0!</v>
      </c>
      <c r="Q40" s="305" t="e">
        <f t="array" ref="Q40">_xlfn.STDEV.P(IF($E$5:$E$14=$E39,Q$5:Q$14))</f>
        <v>#DIV/0!</v>
      </c>
      <c r="R40" s="305" t="e">
        <f t="array" ref="R40">_xlfn.STDEV.P(IF($E$5:$E$14=$E39,R$5:R$14))</f>
        <v>#DIV/0!</v>
      </c>
      <c r="S40" s="303"/>
      <c r="T40" s="303" t="e">
        <f t="array" ref="T40">_xlfn.STDEV.P(IF($E$5:$E$14=$E39,T$5:T$14))</f>
        <v>#DIV/0!</v>
      </c>
      <c r="U40" s="305" t="e">
        <f t="array" ref="U40">_xlfn.STDEV.P(IF($E$5:$E$14=$E39,U$5:U$14))</f>
        <v>#DIV/0!</v>
      </c>
      <c r="V40" s="72" t="s">
        <v>11</v>
      </c>
      <c r="W40" s="81" t="e">
        <f t="array" ref="W40">_xlfn.STDEV.P(IF($E$5:$E$14=$E39,W$5:W$14))</f>
        <v>#DIV/0!</v>
      </c>
      <c r="X40" s="81" t="e">
        <f t="array" ref="X40">_xlfn.STDEV.P(IF($E$5:$E$14=$E39,X$5:X$14))</f>
        <v>#DIV/0!</v>
      </c>
      <c r="Y40" s="81" t="e">
        <f t="array" ref="Y40">_xlfn.STDEV.P(IF($E$5:$E$14=$E39,Y$5:Y$14))</f>
        <v>#DIV/0!</v>
      </c>
      <c r="Z40" s="81" t="e">
        <f t="array" ref="Z40">_xlfn.STDEV.P(IF($E$5:$E$14=$E39,Z$5:Z$14))</f>
        <v>#DIV/0!</v>
      </c>
      <c r="AA40" s="81" t="e">
        <f t="array" ref="AA40">_xlfn.STDEV.P(IF($E$5:$E$14=$E39,AA$5:AA$14))</f>
        <v>#DIV/0!</v>
      </c>
      <c r="AB40" s="81" t="e">
        <f t="array" ref="AB40">_xlfn.STDEV.P(IF($E$5:$E$14=$E39,AB$5:AB$14))</f>
        <v>#DIV/0!</v>
      </c>
      <c r="AC40" s="81" t="e">
        <f t="array" ref="AC40">_xlfn.STDEV.P(IF($E$5:$E$14=$E39,AC$5:AC$14))</f>
        <v>#DIV/0!</v>
      </c>
      <c r="AD40" s="81" t="e">
        <f t="array" ref="AD40">_xlfn.STDEV.P(IF($E$5:$E$14=$E39,AD$5:AD$14))</f>
        <v>#DIV/0!</v>
      </c>
      <c r="AE40" s="81" t="e">
        <f t="array" ref="AE40">_xlfn.STDEV.P(IF($E$5:$E$14=$E39,AE$5:AE$14))</f>
        <v>#DIV/0!</v>
      </c>
      <c r="AF40" s="81" t="e">
        <f t="array" ref="AF40">_xlfn.STDEV.P(IF($E$5:$E$14=$E39,AF$5:AF$14))</f>
        <v>#DIV/0!</v>
      </c>
      <c r="AG40" s="81" t="e">
        <f t="array" ref="AG40">_xlfn.STDEV.P(IF($E$5:$E$14=$E39,AG$5:AG$14))</f>
        <v>#DIV/0!</v>
      </c>
      <c r="AH40" s="81" t="e">
        <f t="array" ref="AH40">_xlfn.STDEV.P(IF($E$5:$E$14=$E39,AH$5:AH$14))</f>
        <v>#DIV/0!</v>
      </c>
      <c r="AI40" s="81" t="e">
        <f t="array" ref="AI40">_xlfn.STDEV.P(IF($E$5:$E$14=$E39,AI$5:AI$14))</f>
        <v>#DIV/0!</v>
      </c>
      <c r="AJ40" s="81" t="e">
        <f t="array" ref="AJ40">_xlfn.STDEV.P(IF($E$5:$E$14=$E39,AJ$5:AJ$14))</f>
        <v>#DIV/0!</v>
      </c>
      <c r="AK40" s="81" t="e">
        <f t="array" ref="AK40">_xlfn.STDEV.P(IF($E$5:$E$14=$E39,AK$5:AK$14))</f>
        <v>#DIV/0!</v>
      </c>
      <c r="AL40" s="81" t="e">
        <f t="array" ref="AL40">_xlfn.STDEV.P(IF($E$5:$E$14=$E39,AL$5:AL$14))</f>
        <v>#DIV/0!</v>
      </c>
      <c r="AM40" s="81" t="e">
        <f t="array" ref="AM40">_xlfn.STDEV.P(IF($E$5:$E$14=$E39,AM$5:AM$14))</f>
        <v>#DIV/0!</v>
      </c>
      <c r="AN40" s="81" t="e">
        <f t="array" ref="AN40">_xlfn.STDEV.P(IF($E$5:$E$14=$E39,AN$5:AN$14))</f>
        <v>#DIV/0!</v>
      </c>
      <c r="AO40" s="81" t="e">
        <f t="array" ref="AO40">_xlfn.STDEV.P(IF($E$5:$E$14=$E39,AO$5:AO$14))</f>
        <v>#DIV/0!</v>
      </c>
      <c r="AP40" s="81" t="e">
        <f t="array" ref="AP40">_xlfn.STDEV.P(IF($E$5:$E$14=$E39,AP$5:AP$14))</f>
        <v>#DIV/0!</v>
      </c>
      <c r="AQ40" s="81" t="e">
        <f t="array" ref="AQ40">_xlfn.STDEV.P(IF($E$5:$E$14=$E39,AQ$5:AQ$14))</f>
        <v>#DIV/0!</v>
      </c>
      <c r="AR40" s="81" t="e">
        <f t="array" ref="AR40">_xlfn.STDEV.P(IF($E$5:$E$14=$E39,AR$5:AR$14))</f>
        <v>#DIV/0!</v>
      </c>
      <c r="AS40" s="81" t="e">
        <f t="array" ref="AS40">_xlfn.STDEV.P(IF($E$5:$E$14=$E39,AS$5:AS$14))</f>
        <v>#DIV/0!</v>
      </c>
      <c r="AT40" s="81" t="e">
        <f t="array" ref="AT40">_xlfn.STDEV.P(IF($E$5:$E$14=$E39,AT$5:AT$14))</f>
        <v>#DIV/0!</v>
      </c>
      <c r="AU40" s="81" t="e">
        <f t="array" ref="AU40">_xlfn.STDEV.P(IF($E$5:$E$14=$E39,AU$5:AU$14))</f>
        <v>#DIV/0!</v>
      </c>
      <c r="AV40" s="81" t="e">
        <f t="array" ref="AV40">_xlfn.STDEV.P(IF($E$5:$E$14=$E39,AV$5:AV$14))</f>
        <v>#DIV/0!</v>
      </c>
      <c r="AW40" s="81" t="e">
        <f t="array" ref="AW40">_xlfn.STDEV.P(IF($E$5:$E$14=$E39,AW$5:AW$14))</f>
        <v>#DIV/0!</v>
      </c>
      <c r="AX40" s="81" t="e">
        <f t="array" ref="AX40">_xlfn.STDEV.P(IF($E$5:$E$14=$E39,AX$5:AX$14))</f>
        <v>#DIV/0!</v>
      </c>
      <c r="AY40" s="81" t="e">
        <f t="array" ref="AY40">_xlfn.STDEV.P(IF($E$5:$E$14=$E39,AY$5:AY$14))</f>
        <v>#DIV/0!</v>
      </c>
      <c r="AZ40" s="81" t="e">
        <f t="array" ref="AZ40">_xlfn.STDEV.P(IF($E$5:$E$14=$E39,AZ$5:AZ$14))</f>
        <v>#DIV/0!</v>
      </c>
      <c r="BA40" s="81" t="e">
        <f t="array" ref="BA40">_xlfn.STDEV.P(IF($E$5:$E$14=$E39,BA$5:BA$14))</f>
        <v>#DIV/0!</v>
      </c>
      <c r="BB40" s="81" t="e">
        <f t="array" ref="BB40">_xlfn.STDEV.P(IF($E$5:$E$14=$E39,BB$5:BB$14))</f>
        <v>#DIV/0!</v>
      </c>
      <c r="BC40" s="81" t="e">
        <f t="array" ref="BC40">_xlfn.STDEV.P(IF($E$5:$E$14=$E39,BC$5:BC$14))</f>
        <v>#DIV/0!</v>
      </c>
      <c r="BD40" s="81" t="e">
        <f t="array" ref="BD40">_xlfn.STDEV.P(IF($E$5:$E$14=$E39,BD$5:BD$14))</f>
        <v>#DIV/0!</v>
      </c>
      <c r="BE40" s="81" t="e">
        <f t="array" ref="BE40">_xlfn.STDEV.P(IF($E$5:$E$14=$E39,BE$5:BE$14))</f>
        <v>#DIV/0!</v>
      </c>
      <c r="BF40" s="81" t="e">
        <f t="array" ref="BF40">_xlfn.STDEV.P(IF($E$5:$E$14=$E39,BF$5:BF$14))</f>
        <v>#DIV/0!</v>
      </c>
      <c r="BG40" s="81" t="e">
        <f t="array" ref="BG40">_xlfn.STDEV.P(IF($E$5:$E$14=$E39,BG$5:BG$14))</f>
        <v>#DIV/0!</v>
      </c>
      <c r="BH40" s="81" t="e">
        <f t="array" ref="BH40">_xlfn.STDEV.P(IF($E$5:$E$14=$E39,BH$5:BH$14))</f>
        <v>#DIV/0!</v>
      </c>
      <c r="BI40" s="81" t="e">
        <f t="array" ref="BI40">_xlfn.STDEV.P(IF($E$5:$E$14=$E39,BI$5:BI$14))</f>
        <v>#DIV/0!</v>
      </c>
      <c r="BJ40" s="81" t="e">
        <f t="array" ref="BJ40">_xlfn.STDEV.P(IF($E$5:$E$14=$E39,BJ$5:BJ$14))</f>
        <v>#DIV/0!</v>
      </c>
      <c r="BK40" s="81" t="e">
        <f t="array" ref="BK40">_xlfn.STDEV.P(IF($E$5:$E$14=$E39,BK$5:BK$14))</f>
        <v>#DIV/0!</v>
      </c>
      <c r="BL40" s="81" t="e">
        <f t="array" ref="BL40">_xlfn.STDEV.P(IF($E$5:$E$14=$E39,BL$5:BL$14))</f>
        <v>#DIV/0!</v>
      </c>
      <c r="BM40" s="81" t="e">
        <f t="array" ref="BM40">_xlfn.STDEV.P(IF($E$5:$E$14=$E39,BM$5:BM$14))</f>
        <v>#DIV/0!</v>
      </c>
      <c r="BN40" s="81" t="e">
        <f t="array" ref="BN40">_xlfn.STDEV.P(IF($E$5:$E$14=$E39,BN$5:BN$14))</f>
        <v>#DIV/0!</v>
      </c>
      <c r="BO40" s="81" t="e">
        <f t="array" ref="BO40">_xlfn.STDEV.P(IF($E$5:$E$14=$E39,BO$5:BO$14))</f>
        <v>#DIV/0!</v>
      </c>
      <c r="BP40" s="81" t="e">
        <f t="array" ref="BP40">_xlfn.STDEV.P(IF($E$5:$E$14=$E39,BP$5:BP$14))</f>
        <v>#DIV/0!</v>
      </c>
      <c r="BQ40" s="104" t="s">
        <v>11</v>
      </c>
      <c r="BR40" s="74" t="e">
        <f t="array" ref="BR40">_xlfn.STDEV.P(IF($E$5:$E$14=$E39,BR$5:BR$14))</f>
        <v>#DIV/0!</v>
      </c>
      <c r="BS40" s="74" t="e">
        <f t="array" ref="BS40">_xlfn.STDEV.P(IF($E$5:$E$14=$E39,BS$5:BS$14))</f>
        <v>#DIV/0!</v>
      </c>
      <c r="BT40" s="74" t="e">
        <f t="array" ref="BT40">_xlfn.STDEV.P(IF($E$5:$E$14=$E39,BT$5:BT$14))</f>
        <v>#DIV/0!</v>
      </c>
      <c r="BU40" s="74" t="e">
        <f t="array" ref="BU40">_xlfn.STDEV.P(IF($E$5:$E$14=$E39,BU$5:BU$14))</f>
        <v>#DIV/0!</v>
      </c>
      <c r="BV40" s="74" t="e">
        <f t="array" ref="BV40">_xlfn.STDEV.P(IF($E$5:$E$14=$E39,BV$5:BV$14))</f>
        <v>#DIV/0!</v>
      </c>
      <c r="BW40" s="74" t="e">
        <f t="array" ref="BW40">_xlfn.STDEV.P(IF($E$5:$E$14=$E39,BW$5:BW$14))</f>
        <v>#DIV/0!</v>
      </c>
      <c r="BX40" s="74" t="e">
        <f t="array" ref="BX40">_xlfn.STDEV.P(IF($E$5:$E$14=$E39,BX$5:BX$14))</f>
        <v>#DIV/0!</v>
      </c>
      <c r="BY40" s="74" t="e">
        <f t="array" ref="BY40">_xlfn.STDEV.P(IF($E$5:$E$14=$E39,BY$5:BY$14))</f>
        <v>#DIV/0!</v>
      </c>
      <c r="BZ40" s="74" t="e">
        <f t="array" ref="BZ40">_xlfn.STDEV.P(IF($E$5:$E$14=$E39,BZ$5:BZ$14))</f>
        <v>#DIV/0!</v>
      </c>
      <c r="CA40" s="74" t="e">
        <f t="array" ref="CA40">_xlfn.STDEV.P(IF($E$5:$E$14=$E39,CA$5:CA$14))</f>
        <v>#DIV/0!</v>
      </c>
      <c r="CB40" s="74" t="e">
        <f t="array" ref="CB40">_xlfn.STDEV.P(IF($E$5:$E$14=$E39,CB$5:CB$14))</f>
        <v>#DIV/0!</v>
      </c>
      <c r="CC40" s="74" t="e">
        <f t="array" ref="CC40">_xlfn.STDEV.P(IF($E$5:$E$14=$E39,CC$5:CC$14))</f>
        <v>#DIV/0!</v>
      </c>
      <c r="CD40" s="74" t="e">
        <f t="array" ref="CD40">_xlfn.STDEV.P(IF($E$5:$E$14=$E39,CD$5:CD$14))</f>
        <v>#DIV/0!</v>
      </c>
      <c r="CE40" s="74" t="e">
        <f t="array" ref="CE40">_xlfn.STDEV.P(IF($E$5:$E$14=$E39,CE$5:CE$14))</f>
        <v>#DIV/0!</v>
      </c>
      <c r="CF40" s="74" t="e">
        <f t="array" ref="CF40">_xlfn.STDEV.P(IF($E$5:$E$14=$E39,CF$5:CF$14))</f>
        <v>#DIV/0!</v>
      </c>
      <c r="CG40" s="74" t="e">
        <f t="array" ref="CG40">_xlfn.STDEV.P(IF($E$5:$E$14=$E39,CG$5:CG$14))</f>
        <v>#DIV/0!</v>
      </c>
      <c r="CH40" s="74" t="e">
        <f t="array" ref="CH40">_xlfn.STDEV.P(IF($E$5:$E$14=$E39,CH$5:CH$14))</f>
        <v>#DIV/0!</v>
      </c>
      <c r="CI40" s="74" t="e">
        <f t="array" ref="CI40">_xlfn.STDEV.P(IF($E$5:$E$14=$E39,CI$5:CI$14))</f>
        <v>#DIV/0!</v>
      </c>
      <c r="CJ40" s="74" t="e">
        <f t="array" ref="CJ40">_xlfn.STDEV.P(IF($E$5:$E$14=$E39,CJ$5:CJ$14))</f>
        <v>#DIV/0!</v>
      </c>
      <c r="CK40" s="74" t="e">
        <f t="array" ref="CK40">_xlfn.STDEV.P(IF($E$5:$E$14=$E39,CK$5:CK$14))</f>
        <v>#DIV/0!</v>
      </c>
      <c r="CL40" s="74" t="e">
        <f t="array" ref="CL40">_xlfn.STDEV.P(IF($E$5:$E$14=$E39,CL$5:CL$14))</f>
        <v>#DIV/0!</v>
      </c>
      <c r="CM40" s="74" t="e">
        <f t="array" ref="CM40">_xlfn.STDEV.P(IF($E$5:$E$14=$E39,CM$5:CM$14))</f>
        <v>#DIV/0!</v>
      </c>
      <c r="CN40" s="74" t="e">
        <f t="array" ref="CN40">_xlfn.STDEV.P(IF($E$5:$E$14=$E39,CN$5:CN$14))</f>
        <v>#DIV/0!</v>
      </c>
      <c r="CO40" s="74" t="e">
        <f t="array" ref="CO40">_xlfn.STDEV.P(IF($E$5:$E$14=$E39,CO$5:CO$14))</f>
        <v>#DIV/0!</v>
      </c>
      <c r="CP40" s="74" t="e">
        <f t="array" ref="CP40">_xlfn.STDEV.P(IF($E$5:$E$14=$E39,CP$5:CP$14))</f>
        <v>#DIV/0!</v>
      </c>
      <c r="CQ40" s="74" t="e">
        <f t="array" ref="CQ40">_xlfn.STDEV.P(IF($E$5:$E$14=$E39,CQ$5:CQ$14))</f>
        <v>#DIV/0!</v>
      </c>
      <c r="CR40" s="74" t="e">
        <f t="array" ref="CR40">_xlfn.STDEV.P(IF($E$5:$E$14=$E39,CR$5:CR$14))</f>
        <v>#DIV/0!</v>
      </c>
      <c r="CS40" s="74" t="e">
        <f t="array" ref="CS40">_xlfn.STDEV.P(IF($E$5:$E$14=$E39,CS$5:CS$14))</f>
        <v>#DIV/0!</v>
      </c>
      <c r="CT40" s="74" t="e">
        <f t="array" ref="CT40">_xlfn.STDEV.P(IF($E$5:$E$14=$E39,CT$5:CT$14))</f>
        <v>#DIV/0!</v>
      </c>
      <c r="CU40" s="74" t="e">
        <f t="array" ref="CU40">_xlfn.STDEV.P(IF($E$5:$E$14=$E39,CU$5:CU$14))</f>
        <v>#DIV/0!</v>
      </c>
      <c r="CV40" s="74" t="e">
        <f t="array" ref="CV40">_xlfn.STDEV.P(IF($E$5:$E$14=$E39,CV$5:CV$14))</f>
        <v>#DIV/0!</v>
      </c>
      <c r="CW40" s="74" t="e">
        <f t="array" ref="CW40">_xlfn.STDEV.P(IF($E$5:$E$14=$E39,CW$5:CW$14))</f>
        <v>#DIV/0!</v>
      </c>
      <c r="CX40" s="74" t="e">
        <f t="array" ref="CX40">_xlfn.STDEV.P(IF($E$5:$E$14=$E39,CX$5:CX$14))</f>
        <v>#DIV/0!</v>
      </c>
      <c r="CY40" s="74" t="e">
        <f t="array" ref="CY40">_xlfn.STDEV.P(IF($E$5:$E$14=$E39,CY$5:CY$14))</f>
        <v>#DIV/0!</v>
      </c>
      <c r="CZ40" s="74" t="e">
        <f t="array" ref="CZ40">_xlfn.STDEV.P(IF($E$5:$E$14=$E39,CZ$5:CZ$14))</f>
        <v>#DIV/0!</v>
      </c>
      <c r="DA40" s="74" t="e">
        <f t="array" ref="DA40">_xlfn.STDEV.P(IF($E$5:$E$14=$E39,DA$5:DA$14))</f>
        <v>#DIV/0!</v>
      </c>
      <c r="DB40" s="74" t="e">
        <f t="array" ref="DB40">_xlfn.STDEV.P(IF($E$5:$E$14=$E39,DB$5:DB$14))</f>
        <v>#DIV/0!</v>
      </c>
      <c r="DC40" s="74" t="e">
        <f t="array" ref="DC40">_xlfn.STDEV.P(IF($E$5:$E$14=$E39,DC$5:DC$14))</f>
        <v>#DIV/0!</v>
      </c>
      <c r="DD40" s="74" t="e">
        <f t="array" ref="DD40">_xlfn.STDEV.P(IF($E$5:$E$14=$E39,DD$5:DD$14))</f>
        <v>#DIV/0!</v>
      </c>
      <c r="DE40" s="74" t="e">
        <f t="array" ref="DE40">_xlfn.STDEV.P(IF($E$5:$E$14=$E39,DE$5:DE$14))</f>
        <v>#DIV/0!</v>
      </c>
      <c r="DF40" s="74" t="e">
        <f t="array" ref="DF40">_xlfn.STDEV.P(IF($E$5:$E$14=$E39,DF$5:DF$14))</f>
        <v>#DIV/0!</v>
      </c>
      <c r="DG40" s="74" t="e">
        <f t="array" ref="DG40">_xlfn.STDEV.P(IF($E$5:$E$14=$E39,DG$5:DG$14))</f>
        <v>#DIV/0!</v>
      </c>
      <c r="DH40" s="74" t="e">
        <f t="array" ref="DH40">_xlfn.STDEV.P(IF($E$5:$E$14=$E39,DH$5:DH$14))</f>
        <v>#DIV/0!</v>
      </c>
      <c r="DI40" s="74" t="e">
        <f t="array" ref="DI40">_xlfn.STDEV.P(IF($E$5:$E$14=$E39,DI$5:DI$14))</f>
        <v>#DIV/0!</v>
      </c>
      <c r="DJ40" s="74" t="e">
        <f t="array" ref="DJ40">_xlfn.STDEV.P(IF($E$5:$E$14=$E39,DJ$5:DJ$14))</f>
        <v>#DIV/0!</v>
      </c>
      <c r="DK40" s="74" t="e">
        <f t="array" ref="DK40">_xlfn.STDEV.P(IF($E$5:$E$14=$E39,DK$5:DK$14))</f>
        <v>#DIV/0!</v>
      </c>
    </row>
    <row r="41" spans="1:115" ht="15">
      <c r="A41" s="113"/>
      <c r="E41" s="118"/>
      <c r="I41" s="52"/>
      <c r="K41" s="57"/>
      <c r="L41" s="57"/>
      <c r="Q41" s="57"/>
      <c r="R41" s="57"/>
      <c r="U41" s="57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</row>
    <row r="42" spans="1:115" ht="14.25" customHeight="1">
      <c r="A42" s="113"/>
      <c r="E42" s="118" t="str">
        <f>'AsPc1 REPEAT Groups'!C12</f>
        <v>Group 7</v>
      </c>
      <c r="I42" s="118" t="str">
        <f>E42</f>
        <v>Group 7</v>
      </c>
      <c r="J42" s="305" t="e">
        <f>AVERAGEIF($E$5:$E$14,$E42,J$5:J$14)</f>
        <v>#DIV/0!</v>
      </c>
      <c r="K42" s="305"/>
      <c r="L42" s="305"/>
      <c r="M42" s="305" t="e">
        <f t="shared" ref="M42:R42" si="39">AVERAGEIF($E$5:$E$14,$E42,M$5:M$14)</f>
        <v>#DIV/0!</v>
      </c>
      <c r="N42" s="305" t="e">
        <f t="shared" si="39"/>
        <v>#DIV/0!</v>
      </c>
      <c r="O42" s="305" t="e">
        <f t="shared" si="39"/>
        <v>#DIV/0!</v>
      </c>
      <c r="P42" s="305" t="e">
        <f t="shared" si="39"/>
        <v>#DIV/0!</v>
      </c>
      <c r="Q42" s="305" t="e">
        <f t="shared" si="39"/>
        <v>#DIV/0!</v>
      </c>
      <c r="R42" s="305" t="e">
        <f t="shared" si="39"/>
        <v>#DIV/0!</v>
      </c>
      <c r="S42" s="303"/>
      <c r="T42" s="303" t="e">
        <f>AVERAGEIF($E$5:$E$14,$E42,T$5:T$14)</f>
        <v>#DIV/0!</v>
      </c>
      <c r="U42" s="305" t="e">
        <f>AVERAGEIF($E$5:$E$14,$E42,U$5:U$14)</f>
        <v>#DIV/0!</v>
      </c>
      <c r="V42" s="72" t="s">
        <v>9</v>
      </c>
      <c r="W42" s="78" t="e">
        <f t="shared" ref="W42:BP42" si="40">AVERAGEIF($E$5:$E$14,$E42,W$5:W$14)</f>
        <v>#DIV/0!</v>
      </c>
      <c r="X42" s="78" t="e">
        <f t="shared" si="40"/>
        <v>#DIV/0!</v>
      </c>
      <c r="Y42" s="78" t="e">
        <f t="shared" si="40"/>
        <v>#DIV/0!</v>
      </c>
      <c r="Z42" s="78" t="e">
        <f t="shared" si="40"/>
        <v>#DIV/0!</v>
      </c>
      <c r="AA42" s="78" t="e">
        <f t="shared" si="40"/>
        <v>#DIV/0!</v>
      </c>
      <c r="AB42" s="78" t="e">
        <f t="shared" si="40"/>
        <v>#DIV/0!</v>
      </c>
      <c r="AC42" s="78" t="e">
        <f t="shared" si="40"/>
        <v>#DIV/0!</v>
      </c>
      <c r="AD42" s="78" t="e">
        <f t="shared" si="40"/>
        <v>#DIV/0!</v>
      </c>
      <c r="AE42" s="78" t="e">
        <f t="shared" si="40"/>
        <v>#DIV/0!</v>
      </c>
      <c r="AF42" s="78" t="e">
        <f t="shared" si="40"/>
        <v>#DIV/0!</v>
      </c>
      <c r="AG42" s="78" t="e">
        <f t="shared" si="40"/>
        <v>#DIV/0!</v>
      </c>
      <c r="AH42" s="78" t="e">
        <f t="shared" si="40"/>
        <v>#DIV/0!</v>
      </c>
      <c r="AI42" s="78" t="e">
        <f t="shared" si="40"/>
        <v>#DIV/0!</v>
      </c>
      <c r="AJ42" s="78" t="e">
        <f t="shared" si="40"/>
        <v>#DIV/0!</v>
      </c>
      <c r="AK42" s="78" t="e">
        <f t="shared" si="40"/>
        <v>#DIV/0!</v>
      </c>
      <c r="AL42" s="78" t="e">
        <f t="shared" si="40"/>
        <v>#DIV/0!</v>
      </c>
      <c r="AM42" s="78" t="e">
        <f t="shared" si="40"/>
        <v>#DIV/0!</v>
      </c>
      <c r="AN42" s="78" t="e">
        <f t="shared" si="40"/>
        <v>#DIV/0!</v>
      </c>
      <c r="AO42" s="78" t="e">
        <f t="shared" si="40"/>
        <v>#DIV/0!</v>
      </c>
      <c r="AP42" s="78" t="e">
        <f t="shared" si="40"/>
        <v>#DIV/0!</v>
      </c>
      <c r="AQ42" s="78" t="e">
        <f t="shared" si="40"/>
        <v>#DIV/0!</v>
      </c>
      <c r="AR42" s="78" t="e">
        <f t="shared" si="40"/>
        <v>#DIV/0!</v>
      </c>
      <c r="AS42" s="78" t="e">
        <f t="shared" si="40"/>
        <v>#DIV/0!</v>
      </c>
      <c r="AT42" s="78" t="e">
        <f t="shared" si="40"/>
        <v>#DIV/0!</v>
      </c>
      <c r="AU42" s="78" t="e">
        <f t="shared" si="40"/>
        <v>#DIV/0!</v>
      </c>
      <c r="AV42" s="78" t="e">
        <f t="shared" si="40"/>
        <v>#DIV/0!</v>
      </c>
      <c r="AW42" s="78" t="e">
        <f t="shared" si="40"/>
        <v>#DIV/0!</v>
      </c>
      <c r="AX42" s="78" t="e">
        <f t="shared" si="40"/>
        <v>#DIV/0!</v>
      </c>
      <c r="AY42" s="78" t="e">
        <f t="shared" si="40"/>
        <v>#DIV/0!</v>
      </c>
      <c r="AZ42" s="78" t="e">
        <f t="shared" si="40"/>
        <v>#DIV/0!</v>
      </c>
      <c r="BA42" s="78" t="e">
        <f t="shared" si="40"/>
        <v>#DIV/0!</v>
      </c>
      <c r="BB42" s="78" t="e">
        <f t="shared" si="40"/>
        <v>#DIV/0!</v>
      </c>
      <c r="BC42" s="78" t="e">
        <f t="shared" si="40"/>
        <v>#DIV/0!</v>
      </c>
      <c r="BD42" s="78" t="e">
        <f t="shared" si="40"/>
        <v>#DIV/0!</v>
      </c>
      <c r="BE42" s="78" t="e">
        <f t="shared" si="40"/>
        <v>#DIV/0!</v>
      </c>
      <c r="BF42" s="78" t="e">
        <f t="shared" si="40"/>
        <v>#DIV/0!</v>
      </c>
      <c r="BG42" s="78" t="e">
        <f t="shared" si="40"/>
        <v>#DIV/0!</v>
      </c>
      <c r="BH42" s="78" t="e">
        <f t="shared" si="40"/>
        <v>#DIV/0!</v>
      </c>
      <c r="BI42" s="78" t="e">
        <f t="shared" si="40"/>
        <v>#DIV/0!</v>
      </c>
      <c r="BJ42" s="78" t="e">
        <f t="shared" si="40"/>
        <v>#DIV/0!</v>
      </c>
      <c r="BK42" s="78" t="e">
        <f t="shared" si="40"/>
        <v>#DIV/0!</v>
      </c>
      <c r="BL42" s="78" t="e">
        <f t="shared" si="40"/>
        <v>#DIV/0!</v>
      </c>
      <c r="BM42" s="78" t="e">
        <f t="shared" si="40"/>
        <v>#DIV/0!</v>
      </c>
      <c r="BN42" s="78" t="e">
        <f t="shared" si="40"/>
        <v>#DIV/0!</v>
      </c>
      <c r="BO42" s="78" t="e">
        <f t="shared" si="40"/>
        <v>#DIV/0!</v>
      </c>
      <c r="BP42" s="78" t="e">
        <f t="shared" si="40"/>
        <v>#DIV/0!</v>
      </c>
      <c r="BQ42" s="103" t="s">
        <v>9</v>
      </c>
      <c r="BR42" s="73" t="e">
        <f t="shared" ref="BR42:DK42" si="41">AVERAGEIF($E$5:$E$14,$E42,BR$5:BR$14)</f>
        <v>#DIV/0!</v>
      </c>
      <c r="BS42" s="73" t="e">
        <f t="shared" si="41"/>
        <v>#DIV/0!</v>
      </c>
      <c r="BT42" s="73" t="e">
        <f t="shared" si="41"/>
        <v>#DIV/0!</v>
      </c>
      <c r="BU42" s="73" t="e">
        <f t="shared" si="41"/>
        <v>#DIV/0!</v>
      </c>
      <c r="BV42" s="73" t="e">
        <f t="shared" si="41"/>
        <v>#DIV/0!</v>
      </c>
      <c r="BW42" s="73" t="e">
        <f t="shared" si="41"/>
        <v>#DIV/0!</v>
      </c>
      <c r="BX42" s="73" t="e">
        <f t="shared" si="41"/>
        <v>#DIV/0!</v>
      </c>
      <c r="BY42" s="73" t="e">
        <f t="shared" si="41"/>
        <v>#DIV/0!</v>
      </c>
      <c r="BZ42" s="73" t="e">
        <f t="shared" si="41"/>
        <v>#DIV/0!</v>
      </c>
      <c r="CA42" s="73" t="e">
        <f t="shared" si="41"/>
        <v>#DIV/0!</v>
      </c>
      <c r="CB42" s="73" t="e">
        <f t="shared" si="41"/>
        <v>#DIV/0!</v>
      </c>
      <c r="CC42" s="73" t="e">
        <f t="shared" si="41"/>
        <v>#DIV/0!</v>
      </c>
      <c r="CD42" s="73" t="e">
        <f t="shared" si="41"/>
        <v>#DIV/0!</v>
      </c>
      <c r="CE42" s="73" t="e">
        <f t="shared" si="41"/>
        <v>#DIV/0!</v>
      </c>
      <c r="CF42" s="73" t="e">
        <f t="shared" si="41"/>
        <v>#DIV/0!</v>
      </c>
      <c r="CG42" s="73" t="e">
        <f t="shared" si="41"/>
        <v>#DIV/0!</v>
      </c>
      <c r="CH42" s="73" t="e">
        <f t="shared" si="41"/>
        <v>#DIV/0!</v>
      </c>
      <c r="CI42" s="73" t="e">
        <f t="shared" si="41"/>
        <v>#DIV/0!</v>
      </c>
      <c r="CJ42" s="73" t="e">
        <f t="shared" si="41"/>
        <v>#DIV/0!</v>
      </c>
      <c r="CK42" s="73" t="e">
        <f t="shared" si="41"/>
        <v>#DIV/0!</v>
      </c>
      <c r="CL42" s="73" t="e">
        <f t="shared" si="41"/>
        <v>#DIV/0!</v>
      </c>
      <c r="CM42" s="73" t="e">
        <f t="shared" si="41"/>
        <v>#DIV/0!</v>
      </c>
      <c r="CN42" s="73" t="e">
        <f t="shared" si="41"/>
        <v>#DIV/0!</v>
      </c>
      <c r="CO42" s="73" t="e">
        <f t="shared" si="41"/>
        <v>#DIV/0!</v>
      </c>
      <c r="CP42" s="73" t="e">
        <f t="shared" si="41"/>
        <v>#DIV/0!</v>
      </c>
      <c r="CQ42" s="73" t="e">
        <f t="shared" si="41"/>
        <v>#DIV/0!</v>
      </c>
      <c r="CR42" s="73" t="e">
        <f t="shared" si="41"/>
        <v>#DIV/0!</v>
      </c>
      <c r="CS42" s="73" t="e">
        <f t="shared" si="41"/>
        <v>#DIV/0!</v>
      </c>
      <c r="CT42" s="73" t="e">
        <f t="shared" si="41"/>
        <v>#DIV/0!</v>
      </c>
      <c r="CU42" s="73" t="e">
        <f t="shared" si="41"/>
        <v>#DIV/0!</v>
      </c>
      <c r="CV42" s="73" t="e">
        <f t="shared" si="41"/>
        <v>#DIV/0!</v>
      </c>
      <c r="CW42" s="73" t="e">
        <f t="shared" si="41"/>
        <v>#DIV/0!</v>
      </c>
      <c r="CX42" s="73" t="e">
        <f t="shared" si="41"/>
        <v>#DIV/0!</v>
      </c>
      <c r="CY42" s="73" t="e">
        <f t="shared" si="41"/>
        <v>#DIV/0!</v>
      </c>
      <c r="CZ42" s="73" t="e">
        <f t="shared" si="41"/>
        <v>#DIV/0!</v>
      </c>
      <c r="DA42" s="73" t="e">
        <f t="shared" si="41"/>
        <v>#DIV/0!</v>
      </c>
      <c r="DB42" s="73" t="e">
        <f t="shared" si="41"/>
        <v>#DIV/0!</v>
      </c>
      <c r="DC42" s="73" t="e">
        <f t="shared" si="41"/>
        <v>#DIV/0!</v>
      </c>
      <c r="DD42" s="73" t="e">
        <f t="shared" si="41"/>
        <v>#DIV/0!</v>
      </c>
      <c r="DE42" s="73" t="e">
        <f t="shared" si="41"/>
        <v>#DIV/0!</v>
      </c>
      <c r="DF42" s="73" t="e">
        <f t="shared" si="41"/>
        <v>#DIV/0!</v>
      </c>
      <c r="DG42" s="73" t="e">
        <f t="shared" si="41"/>
        <v>#DIV/0!</v>
      </c>
      <c r="DH42" s="73" t="e">
        <f t="shared" si="41"/>
        <v>#DIV/0!</v>
      </c>
      <c r="DI42" s="73" t="e">
        <f t="shared" si="41"/>
        <v>#DIV/0!</v>
      </c>
      <c r="DJ42" s="73" t="e">
        <f t="shared" si="41"/>
        <v>#DIV/0!</v>
      </c>
      <c r="DK42" s="73" t="e">
        <f t="shared" si="41"/>
        <v>#DIV/0!</v>
      </c>
    </row>
    <row r="43" spans="1:115" ht="14.25" customHeight="1">
      <c r="A43" s="113"/>
      <c r="E43" s="93"/>
      <c r="I43" s="93"/>
      <c r="J43" s="305" t="e">
        <f t="array" ref="J43">_xlfn.STDEV.P(IF($E$5:$E$14=$E42,J$5:J$14))</f>
        <v>#DIV/0!</v>
      </c>
      <c r="K43" s="305"/>
      <c r="L43" s="305"/>
      <c r="M43" s="305" t="e">
        <f t="array" ref="M43">_xlfn.STDEV.P(IF($E$5:$E$14=$E42,M$5:M$14))</f>
        <v>#DIV/0!</v>
      </c>
      <c r="N43" s="305" t="e">
        <f t="array" ref="N43">_xlfn.STDEV.P(IF($E$5:$E$14=$E42,N$5:N$14))</f>
        <v>#DIV/0!</v>
      </c>
      <c r="O43" s="305" t="e">
        <f t="array" ref="O43">_xlfn.STDEV.P(IF($E$5:$E$14=$E42,O$5:O$14))</f>
        <v>#DIV/0!</v>
      </c>
      <c r="P43" s="305" t="e">
        <f t="array" ref="P43">_xlfn.STDEV.P(IF($E$5:$E$14=$E42,P$5:P$14))</f>
        <v>#DIV/0!</v>
      </c>
      <c r="Q43" s="305" t="e">
        <f t="array" ref="Q43">_xlfn.STDEV.P(IF($E$5:$E$14=$E42,Q$5:Q$14))</f>
        <v>#DIV/0!</v>
      </c>
      <c r="R43" s="305" t="e">
        <f t="array" ref="R43">_xlfn.STDEV.P(IF($E$5:$E$14=$E42,R$5:R$14))</f>
        <v>#DIV/0!</v>
      </c>
      <c r="S43" s="303"/>
      <c r="T43" s="303" t="e">
        <f t="array" ref="T43">_xlfn.STDEV.P(IF($E$5:$E$14=$E42,T$5:T$14))</f>
        <v>#DIV/0!</v>
      </c>
      <c r="U43" s="305" t="e">
        <f t="array" ref="U43">_xlfn.STDEV.P(IF($E$5:$E$14=$E42,U$5:U$14))</f>
        <v>#DIV/0!</v>
      </c>
      <c r="V43" s="72" t="s">
        <v>11</v>
      </c>
      <c r="W43" s="81" t="e">
        <f t="array" ref="W43">_xlfn.STDEV.P(IF($E$5:$E$14=$E42,W$5:W$14))</f>
        <v>#DIV/0!</v>
      </c>
      <c r="X43" s="81" t="e">
        <f t="array" ref="X43">_xlfn.STDEV.P(IF($E$5:$E$14=$E42,X$5:X$14))</f>
        <v>#DIV/0!</v>
      </c>
      <c r="Y43" s="81" t="e">
        <f t="array" ref="Y43">_xlfn.STDEV.P(IF($E$5:$E$14=$E42,Y$5:Y$14))</f>
        <v>#DIV/0!</v>
      </c>
      <c r="Z43" s="81" t="e">
        <f t="array" ref="Z43">_xlfn.STDEV.P(IF($E$5:$E$14=$E42,Z$5:Z$14))</f>
        <v>#DIV/0!</v>
      </c>
      <c r="AA43" s="81" t="e">
        <f t="array" ref="AA43">_xlfn.STDEV.P(IF($E$5:$E$14=$E42,AA$5:AA$14))</f>
        <v>#DIV/0!</v>
      </c>
      <c r="AB43" s="81" t="e">
        <f t="array" ref="AB43">_xlfn.STDEV.P(IF($E$5:$E$14=$E42,AB$5:AB$14))</f>
        <v>#DIV/0!</v>
      </c>
      <c r="AC43" s="81" t="e">
        <f t="array" ref="AC43">_xlfn.STDEV.P(IF($E$5:$E$14=$E42,AC$5:AC$14))</f>
        <v>#DIV/0!</v>
      </c>
      <c r="AD43" s="81" t="e">
        <f t="array" ref="AD43">_xlfn.STDEV.P(IF($E$5:$E$14=$E42,AD$5:AD$14))</f>
        <v>#DIV/0!</v>
      </c>
      <c r="AE43" s="81" t="e">
        <f t="array" ref="AE43">_xlfn.STDEV.P(IF($E$5:$E$14=$E42,AE$5:AE$14))</f>
        <v>#DIV/0!</v>
      </c>
      <c r="AF43" s="81" t="e">
        <f t="array" ref="AF43">_xlfn.STDEV.P(IF($E$5:$E$14=$E42,AF$5:AF$14))</f>
        <v>#DIV/0!</v>
      </c>
      <c r="AG43" s="81" t="e">
        <f t="array" ref="AG43">_xlfn.STDEV.P(IF($E$5:$E$14=$E42,AG$5:AG$14))</f>
        <v>#DIV/0!</v>
      </c>
      <c r="AH43" s="81" t="e">
        <f t="array" ref="AH43">_xlfn.STDEV.P(IF($E$5:$E$14=$E42,AH$5:AH$14))</f>
        <v>#DIV/0!</v>
      </c>
      <c r="AI43" s="81" t="e">
        <f t="array" ref="AI43">_xlfn.STDEV.P(IF($E$5:$E$14=$E42,AI$5:AI$14))</f>
        <v>#DIV/0!</v>
      </c>
      <c r="AJ43" s="81" t="e">
        <f t="array" ref="AJ43">_xlfn.STDEV.P(IF($E$5:$E$14=$E42,AJ$5:AJ$14))</f>
        <v>#DIV/0!</v>
      </c>
      <c r="AK43" s="81" t="e">
        <f t="array" ref="AK43">_xlfn.STDEV.P(IF($E$5:$E$14=$E42,AK$5:AK$14))</f>
        <v>#DIV/0!</v>
      </c>
      <c r="AL43" s="81" t="e">
        <f t="array" ref="AL43">_xlfn.STDEV.P(IF($E$5:$E$14=$E42,AL$5:AL$14))</f>
        <v>#DIV/0!</v>
      </c>
      <c r="AM43" s="81" t="e">
        <f t="array" ref="AM43">_xlfn.STDEV.P(IF($E$5:$E$14=$E42,AM$5:AM$14))</f>
        <v>#DIV/0!</v>
      </c>
      <c r="AN43" s="81" t="e">
        <f t="array" ref="AN43">_xlfn.STDEV.P(IF($E$5:$E$14=$E42,AN$5:AN$14))</f>
        <v>#DIV/0!</v>
      </c>
      <c r="AO43" s="81" t="e">
        <f t="array" ref="AO43">_xlfn.STDEV.P(IF($E$5:$E$14=$E42,AO$5:AO$14))</f>
        <v>#DIV/0!</v>
      </c>
      <c r="AP43" s="81" t="e">
        <f t="array" ref="AP43">_xlfn.STDEV.P(IF($E$5:$E$14=$E42,AP$5:AP$14))</f>
        <v>#DIV/0!</v>
      </c>
      <c r="AQ43" s="81" t="e">
        <f t="array" ref="AQ43">_xlfn.STDEV.P(IF($E$5:$E$14=$E42,AQ$5:AQ$14))</f>
        <v>#DIV/0!</v>
      </c>
      <c r="AR43" s="81" t="e">
        <f t="array" ref="AR43">_xlfn.STDEV.P(IF($E$5:$E$14=$E42,AR$5:AR$14))</f>
        <v>#DIV/0!</v>
      </c>
      <c r="AS43" s="81" t="e">
        <f t="array" ref="AS43">_xlfn.STDEV.P(IF($E$5:$E$14=$E42,AS$5:AS$14))</f>
        <v>#DIV/0!</v>
      </c>
      <c r="AT43" s="81" t="e">
        <f t="array" ref="AT43">_xlfn.STDEV.P(IF($E$5:$E$14=$E42,AT$5:AT$14))</f>
        <v>#DIV/0!</v>
      </c>
      <c r="AU43" s="81" t="e">
        <f t="array" ref="AU43">_xlfn.STDEV.P(IF($E$5:$E$14=$E42,AU$5:AU$14))</f>
        <v>#DIV/0!</v>
      </c>
      <c r="AV43" s="81" t="e">
        <f t="array" ref="AV43">_xlfn.STDEV.P(IF($E$5:$E$14=$E42,AV$5:AV$14))</f>
        <v>#DIV/0!</v>
      </c>
      <c r="AW43" s="81" t="e">
        <f t="array" ref="AW43">_xlfn.STDEV.P(IF($E$5:$E$14=$E42,AW$5:AW$14))</f>
        <v>#DIV/0!</v>
      </c>
      <c r="AX43" s="81" t="e">
        <f t="array" ref="AX43">_xlfn.STDEV.P(IF($E$5:$E$14=$E42,AX$5:AX$14))</f>
        <v>#DIV/0!</v>
      </c>
      <c r="AY43" s="81" t="e">
        <f t="array" ref="AY43">_xlfn.STDEV.P(IF($E$5:$E$14=$E42,AY$5:AY$14))</f>
        <v>#DIV/0!</v>
      </c>
      <c r="AZ43" s="81" t="e">
        <f t="array" ref="AZ43">_xlfn.STDEV.P(IF($E$5:$E$14=$E42,AZ$5:AZ$14))</f>
        <v>#DIV/0!</v>
      </c>
      <c r="BA43" s="81" t="e">
        <f t="array" ref="BA43">_xlfn.STDEV.P(IF($E$5:$E$14=$E42,BA$5:BA$14))</f>
        <v>#DIV/0!</v>
      </c>
      <c r="BB43" s="81" t="e">
        <f t="array" ref="BB43">_xlfn.STDEV.P(IF($E$5:$E$14=$E42,BB$5:BB$14))</f>
        <v>#DIV/0!</v>
      </c>
      <c r="BC43" s="81" t="e">
        <f t="array" ref="BC43">_xlfn.STDEV.P(IF($E$5:$E$14=$E42,BC$5:BC$14))</f>
        <v>#DIV/0!</v>
      </c>
      <c r="BD43" s="81" t="e">
        <f t="array" ref="BD43">_xlfn.STDEV.P(IF($E$5:$E$14=$E42,BD$5:BD$14))</f>
        <v>#DIV/0!</v>
      </c>
      <c r="BE43" s="81" t="e">
        <f t="array" ref="BE43">_xlfn.STDEV.P(IF($E$5:$E$14=$E42,BE$5:BE$14))</f>
        <v>#DIV/0!</v>
      </c>
      <c r="BF43" s="81" t="e">
        <f t="array" ref="BF43">_xlfn.STDEV.P(IF($E$5:$E$14=$E42,BF$5:BF$14))</f>
        <v>#DIV/0!</v>
      </c>
      <c r="BG43" s="81" t="e">
        <f t="array" ref="BG43">_xlfn.STDEV.P(IF($E$5:$E$14=$E42,BG$5:BG$14))</f>
        <v>#DIV/0!</v>
      </c>
      <c r="BH43" s="81" t="e">
        <f t="array" ref="BH43">_xlfn.STDEV.P(IF($E$5:$E$14=$E42,BH$5:BH$14))</f>
        <v>#DIV/0!</v>
      </c>
      <c r="BI43" s="81" t="e">
        <f t="array" ref="BI43">_xlfn.STDEV.P(IF($E$5:$E$14=$E42,BI$5:BI$14))</f>
        <v>#DIV/0!</v>
      </c>
      <c r="BJ43" s="81" t="e">
        <f t="array" ref="BJ43">_xlfn.STDEV.P(IF($E$5:$E$14=$E42,BJ$5:BJ$14))</f>
        <v>#DIV/0!</v>
      </c>
      <c r="BK43" s="81" t="e">
        <f t="array" ref="BK43">_xlfn.STDEV.P(IF($E$5:$E$14=$E42,BK$5:BK$14))</f>
        <v>#DIV/0!</v>
      </c>
      <c r="BL43" s="81" t="e">
        <f t="array" ref="BL43">_xlfn.STDEV.P(IF($E$5:$E$14=$E42,BL$5:BL$14))</f>
        <v>#DIV/0!</v>
      </c>
      <c r="BM43" s="81" t="e">
        <f t="array" ref="BM43">_xlfn.STDEV.P(IF($E$5:$E$14=$E42,BM$5:BM$14))</f>
        <v>#DIV/0!</v>
      </c>
      <c r="BN43" s="81" t="e">
        <f t="array" ref="BN43">_xlfn.STDEV.P(IF($E$5:$E$14=$E42,BN$5:BN$14))</f>
        <v>#DIV/0!</v>
      </c>
      <c r="BO43" s="81" t="e">
        <f t="array" ref="BO43">_xlfn.STDEV.P(IF($E$5:$E$14=$E42,BO$5:BO$14))</f>
        <v>#DIV/0!</v>
      </c>
      <c r="BP43" s="81" t="e">
        <f t="array" ref="BP43">_xlfn.STDEV.P(IF($E$5:$E$14=$E42,BP$5:BP$14))</f>
        <v>#DIV/0!</v>
      </c>
      <c r="BQ43" s="104" t="s">
        <v>11</v>
      </c>
      <c r="BR43" s="74" t="e">
        <f t="array" ref="BR43">_xlfn.STDEV.P(IF($E$5:$E$14=$E42,BR$5:BR$14))</f>
        <v>#DIV/0!</v>
      </c>
      <c r="BS43" s="74" t="e">
        <f t="array" ref="BS43">_xlfn.STDEV.P(IF($E$5:$E$14=$E42,BS$5:BS$14))</f>
        <v>#DIV/0!</v>
      </c>
      <c r="BT43" s="74" t="e">
        <f t="array" ref="BT43">_xlfn.STDEV.P(IF($E$5:$E$14=$E42,BT$5:BT$14))</f>
        <v>#DIV/0!</v>
      </c>
      <c r="BU43" s="74" t="e">
        <f t="array" ref="BU43">_xlfn.STDEV.P(IF($E$5:$E$14=$E42,BU$5:BU$14))</f>
        <v>#DIV/0!</v>
      </c>
      <c r="BV43" s="74" t="e">
        <f t="array" ref="BV43">_xlfn.STDEV.P(IF($E$5:$E$14=$E42,BV$5:BV$14))</f>
        <v>#DIV/0!</v>
      </c>
      <c r="BW43" s="74" t="e">
        <f t="array" ref="BW43">_xlfn.STDEV.P(IF($E$5:$E$14=$E42,BW$5:BW$14))</f>
        <v>#DIV/0!</v>
      </c>
      <c r="BX43" s="74" t="e">
        <f t="array" ref="BX43">_xlfn.STDEV.P(IF($E$5:$E$14=$E42,BX$5:BX$14))</f>
        <v>#DIV/0!</v>
      </c>
      <c r="BY43" s="74" t="e">
        <f t="array" ref="BY43">_xlfn.STDEV.P(IF($E$5:$E$14=$E42,BY$5:BY$14))</f>
        <v>#DIV/0!</v>
      </c>
      <c r="BZ43" s="74" t="e">
        <f t="array" ref="BZ43">_xlfn.STDEV.P(IF($E$5:$E$14=$E42,BZ$5:BZ$14))</f>
        <v>#DIV/0!</v>
      </c>
      <c r="CA43" s="74" t="e">
        <f t="array" ref="CA43">_xlfn.STDEV.P(IF($E$5:$E$14=$E42,CA$5:CA$14))</f>
        <v>#DIV/0!</v>
      </c>
      <c r="CB43" s="74" t="e">
        <f t="array" ref="CB43">_xlfn.STDEV.P(IF($E$5:$E$14=$E42,CB$5:CB$14))</f>
        <v>#DIV/0!</v>
      </c>
      <c r="CC43" s="74" t="e">
        <f t="array" ref="CC43">_xlfn.STDEV.P(IF($E$5:$E$14=$E42,CC$5:CC$14))</f>
        <v>#DIV/0!</v>
      </c>
      <c r="CD43" s="74" t="e">
        <f t="array" ref="CD43">_xlfn.STDEV.P(IF($E$5:$E$14=$E42,CD$5:CD$14))</f>
        <v>#DIV/0!</v>
      </c>
      <c r="CE43" s="74" t="e">
        <f t="array" ref="CE43">_xlfn.STDEV.P(IF($E$5:$E$14=$E42,CE$5:CE$14))</f>
        <v>#DIV/0!</v>
      </c>
      <c r="CF43" s="74" t="e">
        <f t="array" ref="CF43">_xlfn.STDEV.P(IF($E$5:$E$14=$E42,CF$5:CF$14))</f>
        <v>#DIV/0!</v>
      </c>
      <c r="CG43" s="74" t="e">
        <f t="array" ref="CG43">_xlfn.STDEV.P(IF($E$5:$E$14=$E42,CG$5:CG$14))</f>
        <v>#DIV/0!</v>
      </c>
      <c r="CH43" s="74" t="e">
        <f t="array" ref="CH43">_xlfn.STDEV.P(IF($E$5:$E$14=$E42,CH$5:CH$14))</f>
        <v>#DIV/0!</v>
      </c>
      <c r="CI43" s="74" t="e">
        <f t="array" ref="CI43">_xlfn.STDEV.P(IF($E$5:$E$14=$E42,CI$5:CI$14))</f>
        <v>#DIV/0!</v>
      </c>
      <c r="CJ43" s="74" t="e">
        <f t="array" ref="CJ43">_xlfn.STDEV.P(IF($E$5:$E$14=$E42,CJ$5:CJ$14))</f>
        <v>#DIV/0!</v>
      </c>
      <c r="CK43" s="74" t="e">
        <f t="array" ref="CK43">_xlfn.STDEV.P(IF($E$5:$E$14=$E42,CK$5:CK$14))</f>
        <v>#DIV/0!</v>
      </c>
      <c r="CL43" s="74" t="e">
        <f t="array" ref="CL43">_xlfn.STDEV.P(IF($E$5:$E$14=$E42,CL$5:CL$14))</f>
        <v>#DIV/0!</v>
      </c>
      <c r="CM43" s="74" t="e">
        <f t="array" ref="CM43">_xlfn.STDEV.P(IF($E$5:$E$14=$E42,CM$5:CM$14))</f>
        <v>#DIV/0!</v>
      </c>
      <c r="CN43" s="74" t="e">
        <f t="array" ref="CN43">_xlfn.STDEV.P(IF($E$5:$E$14=$E42,CN$5:CN$14))</f>
        <v>#DIV/0!</v>
      </c>
      <c r="CO43" s="74" t="e">
        <f t="array" ref="CO43">_xlfn.STDEV.P(IF($E$5:$E$14=$E42,CO$5:CO$14))</f>
        <v>#DIV/0!</v>
      </c>
      <c r="CP43" s="74" t="e">
        <f t="array" ref="CP43">_xlfn.STDEV.P(IF($E$5:$E$14=$E42,CP$5:CP$14))</f>
        <v>#DIV/0!</v>
      </c>
      <c r="CQ43" s="74" t="e">
        <f t="array" ref="CQ43">_xlfn.STDEV.P(IF($E$5:$E$14=$E42,CQ$5:CQ$14))</f>
        <v>#DIV/0!</v>
      </c>
      <c r="CR43" s="74" t="e">
        <f t="array" ref="CR43">_xlfn.STDEV.P(IF($E$5:$E$14=$E42,CR$5:CR$14))</f>
        <v>#DIV/0!</v>
      </c>
      <c r="CS43" s="74" t="e">
        <f t="array" ref="CS43">_xlfn.STDEV.P(IF($E$5:$E$14=$E42,CS$5:CS$14))</f>
        <v>#DIV/0!</v>
      </c>
      <c r="CT43" s="74" t="e">
        <f t="array" ref="CT43">_xlfn.STDEV.P(IF($E$5:$E$14=$E42,CT$5:CT$14))</f>
        <v>#DIV/0!</v>
      </c>
      <c r="CU43" s="74" t="e">
        <f t="array" ref="CU43">_xlfn.STDEV.P(IF($E$5:$E$14=$E42,CU$5:CU$14))</f>
        <v>#DIV/0!</v>
      </c>
      <c r="CV43" s="74" t="e">
        <f t="array" ref="CV43">_xlfn.STDEV.P(IF($E$5:$E$14=$E42,CV$5:CV$14))</f>
        <v>#DIV/0!</v>
      </c>
      <c r="CW43" s="74" t="e">
        <f t="array" ref="CW43">_xlfn.STDEV.P(IF($E$5:$E$14=$E42,CW$5:CW$14))</f>
        <v>#DIV/0!</v>
      </c>
      <c r="CX43" s="74" t="e">
        <f t="array" ref="CX43">_xlfn.STDEV.P(IF($E$5:$E$14=$E42,CX$5:CX$14))</f>
        <v>#DIV/0!</v>
      </c>
      <c r="CY43" s="74" t="e">
        <f t="array" ref="CY43">_xlfn.STDEV.P(IF($E$5:$E$14=$E42,CY$5:CY$14))</f>
        <v>#DIV/0!</v>
      </c>
      <c r="CZ43" s="74" t="e">
        <f t="array" ref="CZ43">_xlfn.STDEV.P(IF($E$5:$E$14=$E42,CZ$5:CZ$14))</f>
        <v>#DIV/0!</v>
      </c>
      <c r="DA43" s="74" t="e">
        <f t="array" ref="DA43">_xlfn.STDEV.P(IF($E$5:$E$14=$E42,DA$5:DA$14))</f>
        <v>#DIV/0!</v>
      </c>
      <c r="DB43" s="74" t="e">
        <f t="array" ref="DB43">_xlfn.STDEV.P(IF($E$5:$E$14=$E42,DB$5:DB$14))</f>
        <v>#DIV/0!</v>
      </c>
      <c r="DC43" s="74" t="e">
        <f t="array" ref="DC43">_xlfn.STDEV.P(IF($E$5:$E$14=$E42,DC$5:DC$14))</f>
        <v>#DIV/0!</v>
      </c>
      <c r="DD43" s="74" t="e">
        <f t="array" ref="DD43">_xlfn.STDEV.P(IF($E$5:$E$14=$E42,DD$5:DD$14))</f>
        <v>#DIV/0!</v>
      </c>
      <c r="DE43" s="74" t="e">
        <f t="array" ref="DE43">_xlfn.STDEV.P(IF($E$5:$E$14=$E42,DE$5:DE$14))</f>
        <v>#DIV/0!</v>
      </c>
      <c r="DF43" s="74" t="e">
        <f t="array" ref="DF43">_xlfn.STDEV.P(IF($E$5:$E$14=$E42,DF$5:DF$14))</f>
        <v>#DIV/0!</v>
      </c>
      <c r="DG43" s="74" t="e">
        <f t="array" ref="DG43">_xlfn.STDEV.P(IF($E$5:$E$14=$E42,DG$5:DG$14))</f>
        <v>#DIV/0!</v>
      </c>
      <c r="DH43" s="74" t="e">
        <f t="array" ref="DH43">_xlfn.STDEV.P(IF($E$5:$E$14=$E42,DH$5:DH$14))</f>
        <v>#DIV/0!</v>
      </c>
      <c r="DI43" s="74" t="e">
        <f t="array" ref="DI43">_xlfn.STDEV.P(IF($E$5:$E$14=$E42,DI$5:DI$14))</f>
        <v>#DIV/0!</v>
      </c>
      <c r="DJ43" s="74" t="e">
        <f t="array" ref="DJ43">_xlfn.STDEV.P(IF($E$5:$E$14=$E42,DJ$5:DJ$14))</f>
        <v>#DIV/0!</v>
      </c>
      <c r="DK43" s="74" t="e">
        <f t="array" ref="DK43">_xlfn.STDEV.P(IF($E$5:$E$14=$E42,DK$5:DK$14))</f>
        <v>#DIV/0!</v>
      </c>
    </row>
    <row r="44" spans="1:115">
      <c r="K44" s="57"/>
      <c r="L44" s="57"/>
      <c r="Q44" s="57"/>
      <c r="R44" s="57"/>
      <c r="U44" s="57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</row>
    <row r="45" spans="1:115" ht="14.25" customHeight="1">
      <c r="A45" s="113"/>
      <c r="E45" s="118" t="str">
        <f>'AsPc1 REPEAT Groups'!C13</f>
        <v>Group 8</v>
      </c>
      <c r="I45" s="118" t="str">
        <f>E45</f>
        <v>Group 8</v>
      </c>
      <c r="J45" s="305" t="e">
        <f>AVERAGEIF($E$5:$E$14,$E45,J$5:J$14)</f>
        <v>#DIV/0!</v>
      </c>
      <c r="K45" s="305"/>
      <c r="L45" s="305"/>
      <c r="M45" s="305" t="e">
        <f t="shared" ref="M45:R45" si="42">AVERAGEIF($E$5:$E$14,$E45,M$5:M$14)</f>
        <v>#DIV/0!</v>
      </c>
      <c r="N45" s="305" t="e">
        <f t="shared" si="42"/>
        <v>#DIV/0!</v>
      </c>
      <c r="O45" s="305" t="e">
        <f t="shared" si="42"/>
        <v>#DIV/0!</v>
      </c>
      <c r="P45" s="305" t="e">
        <f t="shared" si="42"/>
        <v>#DIV/0!</v>
      </c>
      <c r="Q45" s="305" t="e">
        <f t="shared" si="42"/>
        <v>#DIV/0!</v>
      </c>
      <c r="R45" s="305" t="e">
        <f t="shared" si="42"/>
        <v>#DIV/0!</v>
      </c>
      <c r="S45" s="303"/>
      <c r="T45" s="303" t="e">
        <f>AVERAGEIF($E$5:$E$14,$E45,T$5:T$14)</f>
        <v>#DIV/0!</v>
      </c>
      <c r="U45" s="305" t="e">
        <f>AVERAGEIF($E$5:$E$14,$E45,U$5:U$14)</f>
        <v>#DIV/0!</v>
      </c>
      <c r="V45" s="72" t="s">
        <v>9</v>
      </c>
      <c r="W45" s="78" t="e">
        <f t="shared" ref="W45:BP45" si="43">AVERAGEIF($E$5:$E$14,$E45,W$5:W$14)</f>
        <v>#DIV/0!</v>
      </c>
      <c r="X45" s="78" t="e">
        <f t="shared" si="43"/>
        <v>#DIV/0!</v>
      </c>
      <c r="Y45" s="78" t="e">
        <f t="shared" si="43"/>
        <v>#DIV/0!</v>
      </c>
      <c r="Z45" s="78" t="e">
        <f t="shared" si="43"/>
        <v>#DIV/0!</v>
      </c>
      <c r="AA45" s="78" t="e">
        <f t="shared" si="43"/>
        <v>#DIV/0!</v>
      </c>
      <c r="AB45" s="78" t="e">
        <f t="shared" si="43"/>
        <v>#DIV/0!</v>
      </c>
      <c r="AC45" s="78" t="e">
        <f t="shared" si="43"/>
        <v>#DIV/0!</v>
      </c>
      <c r="AD45" s="78" t="e">
        <f t="shared" si="43"/>
        <v>#DIV/0!</v>
      </c>
      <c r="AE45" s="78" t="e">
        <f t="shared" si="43"/>
        <v>#DIV/0!</v>
      </c>
      <c r="AF45" s="78" t="e">
        <f t="shared" si="43"/>
        <v>#DIV/0!</v>
      </c>
      <c r="AG45" s="78" t="e">
        <f t="shared" si="43"/>
        <v>#DIV/0!</v>
      </c>
      <c r="AH45" s="78" t="e">
        <f t="shared" si="43"/>
        <v>#DIV/0!</v>
      </c>
      <c r="AI45" s="78" t="e">
        <f t="shared" si="43"/>
        <v>#DIV/0!</v>
      </c>
      <c r="AJ45" s="78" t="e">
        <f t="shared" si="43"/>
        <v>#DIV/0!</v>
      </c>
      <c r="AK45" s="78" t="e">
        <f t="shared" si="43"/>
        <v>#DIV/0!</v>
      </c>
      <c r="AL45" s="78" t="e">
        <f t="shared" si="43"/>
        <v>#DIV/0!</v>
      </c>
      <c r="AM45" s="78" t="e">
        <f t="shared" si="43"/>
        <v>#DIV/0!</v>
      </c>
      <c r="AN45" s="78" t="e">
        <f t="shared" si="43"/>
        <v>#DIV/0!</v>
      </c>
      <c r="AO45" s="78" t="e">
        <f t="shared" si="43"/>
        <v>#DIV/0!</v>
      </c>
      <c r="AP45" s="78" t="e">
        <f t="shared" si="43"/>
        <v>#DIV/0!</v>
      </c>
      <c r="AQ45" s="78" t="e">
        <f t="shared" si="43"/>
        <v>#DIV/0!</v>
      </c>
      <c r="AR45" s="78" t="e">
        <f t="shared" si="43"/>
        <v>#DIV/0!</v>
      </c>
      <c r="AS45" s="78" t="e">
        <f t="shared" si="43"/>
        <v>#DIV/0!</v>
      </c>
      <c r="AT45" s="78" t="e">
        <f t="shared" si="43"/>
        <v>#DIV/0!</v>
      </c>
      <c r="AU45" s="78" t="e">
        <f t="shared" si="43"/>
        <v>#DIV/0!</v>
      </c>
      <c r="AV45" s="78" t="e">
        <f t="shared" si="43"/>
        <v>#DIV/0!</v>
      </c>
      <c r="AW45" s="78" t="e">
        <f t="shared" si="43"/>
        <v>#DIV/0!</v>
      </c>
      <c r="AX45" s="78" t="e">
        <f t="shared" si="43"/>
        <v>#DIV/0!</v>
      </c>
      <c r="AY45" s="78" t="e">
        <f t="shared" si="43"/>
        <v>#DIV/0!</v>
      </c>
      <c r="AZ45" s="78" t="e">
        <f t="shared" si="43"/>
        <v>#DIV/0!</v>
      </c>
      <c r="BA45" s="78" t="e">
        <f t="shared" si="43"/>
        <v>#DIV/0!</v>
      </c>
      <c r="BB45" s="78" t="e">
        <f t="shared" si="43"/>
        <v>#DIV/0!</v>
      </c>
      <c r="BC45" s="78" t="e">
        <f t="shared" si="43"/>
        <v>#DIV/0!</v>
      </c>
      <c r="BD45" s="78" t="e">
        <f t="shared" si="43"/>
        <v>#DIV/0!</v>
      </c>
      <c r="BE45" s="78" t="e">
        <f t="shared" si="43"/>
        <v>#DIV/0!</v>
      </c>
      <c r="BF45" s="78" t="e">
        <f t="shared" si="43"/>
        <v>#DIV/0!</v>
      </c>
      <c r="BG45" s="78" t="e">
        <f t="shared" si="43"/>
        <v>#DIV/0!</v>
      </c>
      <c r="BH45" s="78" t="e">
        <f t="shared" si="43"/>
        <v>#DIV/0!</v>
      </c>
      <c r="BI45" s="78" t="e">
        <f t="shared" si="43"/>
        <v>#DIV/0!</v>
      </c>
      <c r="BJ45" s="78" t="e">
        <f t="shared" si="43"/>
        <v>#DIV/0!</v>
      </c>
      <c r="BK45" s="78" t="e">
        <f t="shared" si="43"/>
        <v>#DIV/0!</v>
      </c>
      <c r="BL45" s="78" t="e">
        <f t="shared" si="43"/>
        <v>#DIV/0!</v>
      </c>
      <c r="BM45" s="78" t="e">
        <f t="shared" si="43"/>
        <v>#DIV/0!</v>
      </c>
      <c r="BN45" s="78" t="e">
        <f t="shared" si="43"/>
        <v>#DIV/0!</v>
      </c>
      <c r="BO45" s="78" t="e">
        <f t="shared" si="43"/>
        <v>#DIV/0!</v>
      </c>
      <c r="BP45" s="78" t="e">
        <f t="shared" si="43"/>
        <v>#DIV/0!</v>
      </c>
      <c r="BQ45" s="103" t="s">
        <v>9</v>
      </c>
      <c r="BR45" s="73" t="e">
        <f t="shared" ref="BR45:DK45" si="44">AVERAGEIF($E$5:$E$14,$E45,BR$5:BR$14)</f>
        <v>#DIV/0!</v>
      </c>
      <c r="BS45" s="73" t="e">
        <f t="shared" si="44"/>
        <v>#DIV/0!</v>
      </c>
      <c r="BT45" s="73" t="e">
        <f t="shared" si="44"/>
        <v>#DIV/0!</v>
      </c>
      <c r="BU45" s="73" t="e">
        <f t="shared" si="44"/>
        <v>#DIV/0!</v>
      </c>
      <c r="BV45" s="73" t="e">
        <f t="shared" si="44"/>
        <v>#DIV/0!</v>
      </c>
      <c r="BW45" s="73" t="e">
        <f t="shared" si="44"/>
        <v>#DIV/0!</v>
      </c>
      <c r="BX45" s="73" t="e">
        <f t="shared" si="44"/>
        <v>#DIV/0!</v>
      </c>
      <c r="BY45" s="73" t="e">
        <f t="shared" si="44"/>
        <v>#DIV/0!</v>
      </c>
      <c r="BZ45" s="73" t="e">
        <f t="shared" si="44"/>
        <v>#DIV/0!</v>
      </c>
      <c r="CA45" s="73" t="e">
        <f t="shared" si="44"/>
        <v>#DIV/0!</v>
      </c>
      <c r="CB45" s="73" t="e">
        <f t="shared" si="44"/>
        <v>#DIV/0!</v>
      </c>
      <c r="CC45" s="73" t="e">
        <f t="shared" si="44"/>
        <v>#DIV/0!</v>
      </c>
      <c r="CD45" s="73" t="e">
        <f t="shared" si="44"/>
        <v>#DIV/0!</v>
      </c>
      <c r="CE45" s="73" t="e">
        <f t="shared" si="44"/>
        <v>#DIV/0!</v>
      </c>
      <c r="CF45" s="73" t="e">
        <f t="shared" si="44"/>
        <v>#DIV/0!</v>
      </c>
      <c r="CG45" s="73" t="e">
        <f t="shared" si="44"/>
        <v>#DIV/0!</v>
      </c>
      <c r="CH45" s="73" t="e">
        <f t="shared" si="44"/>
        <v>#DIV/0!</v>
      </c>
      <c r="CI45" s="73" t="e">
        <f t="shared" si="44"/>
        <v>#DIV/0!</v>
      </c>
      <c r="CJ45" s="73" t="e">
        <f t="shared" si="44"/>
        <v>#DIV/0!</v>
      </c>
      <c r="CK45" s="73" t="e">
        <f t="shared" si="44"/>
        <v>#DIV/0!</v>
      </c>
      <c r="CL45" s="73" t="e">
        <f t="shared" si="44"/>
        <v>#DIV/0!</v>
      </c>
      <c r="CM45" s="73" t="e">
        <f t="shared" si="44"/>
        <v>#DIV/0!</v>
      </c>
      <c r="CN45" s="73" t="e">
        <f t="shared" si="44"/>
        <v>#DIV/0!</v>
      </c>
      <c r="CO45" s="73" t="e">
        <f t="shared" si="44"/>
        <v>#DIV/0!</v>
      </c>
      <c r="CP45" s="73" t="e">
        <f t="shared" si="44"/>
        <v>#DIV/0!</v>
      </c>
      <c r="CQ45" s="73" t="e">
        <f t="shared" si="44"/>
        <v>#DIV/0!</v>
      </c>
      <c r="CR45" s="73" t="e">
        <f t="shared" si="44"/>
        <v>#DIV/0!</v>
      </c>
      <c r="CS45" s="73" t="e">
        <f t="shared" si="44"/>
        <v>#DIV/0!</v>
      </c>
      <c r="CT45" s="73" t="e">
        <f t="shared" si="44"/>
        <v>#DIV/0!</v>
      </c>
      <c r="CU45" s="73" t="e">
        <f t="shared" si="44"/>
        <v>#DIV/0!</v>
      </c>
      <c r="CV45" s="73" t="e">
        <f t="shared" si="44"/>
        <v>#DIV/0!</v>
      </c>
      <c r="CW45" s="73" t="e">
        <f t="shared" si="44"/>
        <v>#DIV/0!</v>
      </c>
      <c r="CX45" s="73" t="e">
        <f t="shared" si="44"/>
        <v>#DIV/0!</v>
      </c>
      <c r="CY45" s="73" t="e">
        <f t="shared" si="44"/>
        <v>#DIV/0!</v>
      </c>
      <c r="CZ45" s="73" t="e">
        <f t="shared" si="44"/>
        <v>#DIV/0!</v>
      </c>
      <c r="DA45" s="73" t="e">
        <f t="shared" si="44"/>
        <v>#DIV/0!</v>
      </c>
      <c r="DB45" s="73" t="e">
        <f t="shared" si="44"/>
        <v>#DIV/0!</v>
      </c>
      <c r="DC45" s="73" t="e">
        <f t="shared" si="44"/>
        <v>#DIV/0!</v>
      </c>
      <c r="DD45" s="73" t="e">
        <f t="shared" si="44"/>
        <v>#DIV/0!</v>
      </c>
      <c r="DE45" s="73" t="e">
        <f t="shared" si="44"/>
        <v>#DIV/0!</v>
      </c>
      <c r="DF45" s="73" t="e">
        <f t="shared" si="44"/>
        <v>#DIV/0!</v>
      </c>
      <c r="DG45" s="73" t="e">
        <f t="shared" si="44"/>
        <v>#DIV/0!</v>
      </c>
      <c r="DH45" s="73" t="e">
        <f t="shared" si="44"/>
        <v>#DIV/0!</v>
      </c>
      <c r="DI45" s="73" t="e">
        <f t="shared" si="44"/>
        <v>#DIV/0!</v>
      </c>
      <c r="DJ45" s="73" t="e">
        <f t="shared" si="44"/>
        <v>#DIV/0!</v>
      </c>
      <c r="DK45" s="73" t="e">
        <f t="shared" si="44"/>
        <v>#DIV/0!</v>
      </c>
    </row>
    <row r="46" spans="1:115" ht="14.25" customHeight="1">
      <c r="A46" s="113"/>
      <c r="E46" s="93"/>
      <c r="I46" s="93"/>
      <c r="J46" s="305" t="e">
        <f t="array" ref="J46">_xlfn.STDEV.P(IF($E$5:$E$14=$E45,J$5:J$14))</f>
        <v>#DIV/0!</v>
      </c>
      <c r="K46" s="305"/>
      <c r="L46" s="305"/>
      <c r="M46" s="305" t="e">
        <f t="array" ref="M46">_xlfn.STDEV.P(IF($E$5:$E$14=$E45,M$5:M$14))</f>
        <v>#DIV/0!</v>
      </c>
      <c r="N46" s="305" t="e">
        <f t="array" ref="N46">_xlfn.STDEV.P(IF($E$5:$E$14=$E45,N$5:N$14))</f>
        <v>#DIV/0!</v>
      </c>
      <c r="O46" s="305" t="e">
        <f t="array" ref="O46">_xlfn.STDEV.P(IF($E$5:$E$14=$E45,O$5:O$14))</f>
        <v>#DIV/0!</v>
      </c>
      <c r="P46" s="305" t="e">
        <f t="array" ref="P46">_xlfn.STDEV.P(IF($E$5:$E$14=$E45,P$5:P$14))</f>
        <v>#DIV/0!</v>
      </c>
      <c r="Q46" s="305" t="e">
        <f t="array" ref="Q46">_xlfn.STDEV.P(IF($E$5:$E$14=$E45,Q$5:Q$14))</f>
        <v>#DIV/0!</v>
      </c>
      <c r="R46" s="305" t="e">
        <f t="array" ref="R46">_xlfn.STDEV.P(IF($E$5:$E$14=$E45,R$5:R$14))</f>
        <v>#DIV/0!</v>
      </c>
      <c r="S46" s="303"/>
      <c r="T46" s="303" t="e">
        <f t="array" ref="T46">_xlfn.STDEV.P(IF($E$5:$E$14=$E45,T$5:T$14))</f>
        <v>#DIV/0!</v>
      </c>
      <c r="U46" s="305" t="e">
        <f t="array" ref="U46">_xlfn.STDEV.P(IF($E$5:$E$14=$E45,U$5:U$14))</f>
        <v>#DIV/0!</v>
      </c>
      <c r="V46" s="72" t="s">
        <v>11</v>
      </c>
      <c r="W46" s="81" t="e">
        <f t="array" ref="W46">_xlfn.STDEV.P(IF($E$5:$E$14=$E45,W$5:W$14))</f>
        <v>#DIV/0!</v>
      </c>
      <c r="X46" s="81" t="e">
        <f t="array" ref="X46">_xlfn.STDEV.P(IF($E$5:$E$14=$E45,X$5:X$14))</f>
        <v>#DIV/0!</v>
      </c>
      <c r="Y46" s="81" t="e">
        <f t="array" ref="Y46">_xlfn.STDEV.P(IF($E$5:$E$14=$E45,Y$5:Y$14))</f>
        <v>#DIV/0!</v>
      </c>
      <c r="Z46" s="81" t="e">
        <f t="array" ref="Z46">_xlfn.STDEV.P(IF($E$5:$E$14=$E45,Z$5:Z$14))</f>
        <v>#DIV/0!</v>
      </c>
      <c r="AA46" s="81" t="e">
        <f t="array" ref="AA46">_xlfn.STDEV.P(IF($E$5:$E$14=$E45,AA$5:AA$14))</f>
        <v>#DIV/0!</v>
      </c>
      <c r="AB46" s="81" t="e">
        <f t="array" ref="AB46">_xlfn.STDEV.P(IF($E$5:$E$14=$E45,AB$5:AB$14))</f>
        <v>#DIV/0!</v>
      </c>
      <c r="AC46" s="81" t="e">
        <f t="array" ref="AC46">_xlfn.STDEV.P(IF($E$5:$E$14=$E45,AC$5:AC$14))</f>
        <v>#DIV/0!</v>
      </c>
      <c r="AD46" s="81" t="e">
        <f t="array" ref="AD46">_xlfn.STDEV.P(IF($E$5:$E$14=$E45,AD$5:AD$14))</f>
        <v>#DIV/0!</v>
      </c>
      <c r="AE46" s="81" t="e">
        <f t="array" ref="AE46">_xlfn.STDEV.P(IF($E$5:$E$14=$E45,AE$5:AE$14))</f>
        <v>#DIV/0!</v>
      </c>
      <c r="AF46" s="81" t="e">
        <f t="array" ref="AF46">_xlfn.STDEV.P(IF($E$5:$E$14=$E45,AF$5:AF$14))</f>
        <v>#DIV/0!</v>
      </c>
      <c r="AG46" s="81" t="e">
        <f t="array" ref="AG46">_xlfn.STDEV.P(IF($E$5:$E$14=$E45,AG$5:AG$14))</f>
        <v>#DIV/0!</v>
      </c>
      <c r="AH46" s="81" t="e">
        <f t="array" ref="AH46">_xlfn.STDEV.P(IF($E$5:$E$14=$E45,AH$5:AH$14))</f>
        <v>#DIV/0!</v>
      </c>
      <c r="AI46" s="81" t="e">
        <f t="array" ref="AI46">_xlfn.STDEV.P(IF($E$5:$E$14=$E45,AI$5:AI$14))</f>
        <v>#DIV/0!</v>
      </c>
      <c r="AJ46" s="81" t="e">
        <f t="array" ref="AJ46">_xlfn.STDEV.P(IF($E$5:$E$14=$E45,AJ$5:AJ$14))</f>
        <v>#DIV/0!</v>
      </c>
      <c r="AK46" s="81" t="e">
        <f t="array" ref="AK46">_xlfn.STDEV.P(IF($E$5:$E$14=$E45,AK$5:AK$14))</f>
        <v>#DIV/0!</v>
      </c>
      <c r="AL46" s="81" t="e">
        <f t="array" ref="AL46">_xlfn.STDEV.P(IF($E$5:$E$14=$E45,AL$5:AL$14))</f>
        <v>#DIV/0!</v>
      </c>
      <c r="AM46" s="81" t="e">
        <f t="array" ref="AM46">_xlfn.STDEV.P(IF($E$5:$E$14=$E45,AM$5:AM$14))</f>
        <v>#DIV/0!</v>
      </c>
      <c r="AN46" s="81" t="e">
        <f t="array" ref="AN46">_xlfn.STDEV.P(IF($E$5:$E$14=$E45,AN$5:AN$14))</f>
        <v>#DIV/0!</v>
      </c>
      <c r="AO46" s="81" t="e">
        <f t="array" ref="AO46">_xlfn.STDEV.P(IF($E$5:$E$14=$E45,AO$5:AO$14))</f>
        <v>#DIV/0!</v>
      </c>
      <c r="AP46" s="81" t="e">
        <f t="array" ref="AP46">_xlfn.STDEV.P(IF($E$5:$E$14=$E45,AP$5:AP$14))</f>
        <v>#DIV/0!</v>
      </c>
      <c r="AQ46" s="81" t="e">
        <f t="array" ref="AQ46">_xlfn.STDEV.P(IF($E$5:$E$14=$E45,AQ$5:AQ$14))</f>
        <v>#DIV/0!</v>
      </c>
      <c r="AR46" s="81" t="e">
        <f t="array" ref="AR46">_xlfn.STDEV.P(IF($E$5:$E$14=$E45,AR$5:AR$14))</f>
        <v>#DIV/0!</v>
      </c>
      <c r="AS46" s="81" t="e">
        <f t="array" ref="AS46">_xlfn.STDEV.P(IF($E$5:$E$14=$E45,AS$5:AS$14))</f>
        <v>#DIV/0!</v>
      </c>
      <c r="AT46" s="81" t="e">
        <f t="array" ref="AT46">_xlfn.STDEV.P(IF($E$5:$E$14=$E45,AT$5:AT$14))</f>
        <v>#DIV/0!</v>
      </c>
      <c r="AU46" s="81" t="e">
        <f t="array" ref="AU46">_xlfn.STDEV.P(IF($E$5:$E$14=$E45,AU$5:AU$14))</f>
        <v>#DIV/0!</v>
      </c>
      <c r="AV46" s="81" t="e">
        <f t="array" ref="AV46">_xlfn.STDEV.P(IF($E$5:$E$14=$E45,AV$5:AV$14))</f>
        <v>#DIV/0!</v>
      </c>
      <c r="AW46" s="81" t="e">
        <f t="array" ref="AW46">_xlfn.STDEV.P(IF($E$5:$E$14=$E45,AW$5:AW$14))</f>
        <v>#DIV/0!</v>
      </c>
      <c r="AX46" s="81" t="e">
        <f t="array" ref="AX46">_xlfn.STDEV.P(IF($E$5:$E$14=$E45,AX$5:AX$14))</f>
        <v>#DIV/0!</v>
      </c>
      <c r="AY46" s="81" t="e">
        <f t="array" ref="AY46">_xlfn.STDEV.P(IF($E$5:$E$14=$E45,AY$5:AY$14))</f>
        <v>#DIV/0!</v>
      </c>
      <c r="AZ46" s="81" t="e">
        <f t="array" ref="AZ46">_xlfn.STDEV.P(IF($E$5:$E$14=$E45,AZ$5:AZ$14))</f>
        <v>#DIV/0!</v>
      </c>
      <c r="BA46" s="81" t="e">
        <f t="array" ref="BA46">_xlfn.STDEV.P(IF($E$5:$E$14=$E45,BA$5:BA$14))</f>
        <v>#DIV/0!</v>
      </c>
      <c r="BB46" s="81" t="e">
        <f t="array" ref="BB46">_xlfn.STDEV.P(IF($E$5:$E$14=$E45,BB$5:BB$14))</f>
        <v>#DIV/0!</v>
      </c>
      <c r="BC46" s="81" t="e">
        <f t="array" ref="BC46">_xlfn.STDEV.P(IF($E$5:$E$14=$E45,BC$5:BC$14))</f>
        <v>#DIV/0!</v>
      </c>
      <c r="BD46" s="81" t="e">
        <f t="array" ref="BD46">_xlfn.STDEV.P(IF($E$5:$E$14=$E45,BD$5:BD$14))</f>
        <v>#DIV/0!</v>
      </c>
      <c r="BE46" s="81" t="e">
        <f t="array" ref="BE46">_xlfn.STDEV.P(IF($E$5:$E$14=$E45,BE$5:BE$14))</f>
        <v>#DIV/0!</v>
      </c>
      <c r="BF46" s="81" t="e">
        <f t="array" ref="BF46">_xlfn.STDEV.P(IF($E$5:$E$14=$E45,BF$5:BF$14))</f>
        <v>#DIV/0!</v>
      </c>
      <c r="BG46" s="81" t="e">
        <f t="array" ref="BG46">_xlfn.STDEV.P(IF($E$5:$E$14=$E45,BG$5:BG$14))</f>
        <v>#DIV/0!</v>
      </c>
      <c r="BH46" s="81" t="e">
        <f t="array" ref="BH46">_xlfn.STDEV.P(IF($E$5:$E$14=$E45,BH$5:BH$14))</f>
        <v>#DIV/0!</v>
      </c>
      <c r="BI46" s="81" t="e">
        <f t="array" ref="BI46">_xlfn.STDEV.P(IF($E$5:$E$14=$E45,BI$5:BI$14))</f>
        <v>#DIV/0!</v>
      </c>
      <c r="BJ46" s="81" t="e">
        <f t="array" ref="BJ46">_xlfn.STDEV.P(IF($E$5:$E$14=$E45,BJ$5:BJ$14))</f>
        <v>#DIV/0!</v>
      </c>
      <c r="BK46" s="81" t="e">
        <f t="array" ref="BK46">_xlfn.STDEV.P(IF($E$5:$E$14=$E45,BK$5:BK$14))</f>
        <v>#DIV/0!</v>
      </c>
      <c r="BL46" s="81" t="e">
        <f t="array" ref="BL46">_xlfn.STDEV.P(IF($E$5:$E$14=$E45,BL$5:BL$14))</f>
        <v>#DIV/0!</v>
      </c>
      <c r="BM46" s="81" t="e">
        <f t="array" ref="BM46">_xlfn.STDEV.P(IF($E$5:$E$14=$E45,BM$5:BM$14))</f>
        <v>#DIV/0!</v>
      </c>
      <c r="BN46" s="81" t="e">
        <f t="array" ref="BN46">_xlfn.STDEV.P(IF($E$5:$E$14=$E45,BN$5:BN$14))</f>
        <v>#DIV/0!</v>
      </c>
      <c r="BO46" s="81" t="e">
        <f t="array" ref="BO46">_xlfn.STDEV.P(IF($E$5:$E$14=$E45,BO$5:BO$14))</f>
        <v>#DIV/0!</v>
      </c>
      <c r="BP46" s="81" t="e">
        <f t="array" ref="BP46">_xlfn.STDEV.P(IF($E$5:$E$14=$E45,BP$5:BP$14))</f>
        <v>#DIV/0!</v>
      </c>
      <c r="BQ46" s="104" t="s">
        <v>11</v>
      </c>
      <c r="BR46" s="74" t="e">
        <f t="array" ref="BR46">_xlfn.STDEV.P(IF($E$5:$E$14=$E45,BR$5:BR$14))</f>
        <v>#DIV/0!</v>
      </c>
      <c r="BS46" s="74" t="e">
        <f t="array" ref="BS46">_xlfn.STDEV.P(IF($E$5:$E$14=$E45,BS$5:BS$14))</f>
        <v>#DIV/0!</v>
      </c>
      <c r="BT46" s="74" t="e">
        <f t="array" ref="BT46">_xlfn.STDEV.P(IF($E$5:$E$14=$E45,BT$5:BT$14))</f>
        <v>#DIV/0!</v>
      </c>
      <c r="BU46" s="74" t="e">
        <f t="array" ref="BU46">_xlfn.STDEV.P(IF($E$5:$E$14=$E45,BU$5:BU$14))</f>
        <v>#DIV/0!</v>
      </c>
      <c r="BV46" s="74" t="e">
        <f t="array" ref="BV46">_xlfn.STDEV.P(IF($E$5:$E$14=$E45,BV$5:BV$14))</f>
        <v>#DIV/0!</v>
      </c>
      <c r="BW46" s="74" t="e">
        <f t="array" ref="BW46">_xlfn.STDEV.P(IF($E$5:$E$14=$E45,BW$5:BW$14))</f>
        <v>#DIV/0!</v>
      </c>
      <c r="BX46" s="74" t="e">
        <f t="array" ref="BX46">_xlfn.STDEV.P(IF($E$5:$E$14=$E45,BX$5:BX$14))</f>
        <v>#DIV/0!</v>
      </c>
      <c r="BY46" s="74" t="e">
        <f t="array" ref="BY46">_xlfn.STDEV.P(IF($E$5:$E$14=$E45,BY$5:BY$14))</f>
        <v>#DIV/0!</v>
      </c>
      <c r="BZ46" s="74" t="e">
        <f t="array" ref="BZ46">_xlfn.STDEV.P(IF($E$5:$E$14=$E45,BZ$5:BZ$14))</f>
        <v>#DIV/0!</v>
      </c>
      <c r="CA46" s="74" t="e">
        <f t="array" ref="CA46">_xlfn.STDEV.P(IF($E$5:$E$14=$E45,CA$5:CA$14))</f>
        <v>#DIV/0!</v>
      </c>
      <c r="CB46" s="74" t="e">
        <f t="array" ref="CB46">_xlfn.STDEV.P(IF($E$5:$E$14=$E45,CB$5:CB$14))</f>
        <v>#DIV/0!</v>
      </c>
      <c r="CC46" s="74" t="e">
        <f t="array" ref="CC46">_xlfn.STDEV.P(IF($E$5:$E$14=$E45,CC$5:CC$14))</f>
        <v>#DIV/0!</v>
      </c>
      <c r="CD46" s="74" t="e">
        <f t="array" ref="CD46">_xlfn.STDEV.P(IF($E$5:$E$14=$E45,CD$5:CD$14))</f>
        <v>#DIV/0!</v>
      </c>
      <c r="CE46" s="74" t="e">
        <f t="array" ref="CE46">_xlfn.STDEV.P(IF($E$5:$E$14=$E45,CE$5:CE$14))</f>
        <v>#DIV/0!</v>
      </c>
      <c r="CF46" s="74" t="e">
        <f t="array" ref="CF46">_xlfn.STDEV.P(IF($E$5:$E$14=$E45,CF$5:CF$14))</f>
        <v>#DIV/0!</v>
      </c>
      <c r="CG46" s="74" t="e">
        <f t="array" ref="CG46">_xlfn.STDEV.P(IF($E$5:$E$14=$E45,CG$5:CG$14))</f>
        <v>#DIV/0!</v>
      </c>
      <c r="CH46" s="74" t="e">
        <f t="array" ref="CH46">_xlfn.STDEV.P(IF($E$5:$E$14=$E45,CH$5:CH$14))</f>
        <v>#DIV/0!</v>
      </c>
      <c r="CI46" s="74" t="e">
        <f t="array" ref="CI46">_xlfn.STDEV.P(IF($E$5:$E$14=$E45,CI$5:CI$14))</f>
        <v>#DIV/0!</v>
      </c>
      <c r="CJ46" s="74" t="e">
        <f t="array" ref="CJ46">_xlfn.STDEV.P(IF($E$5:$E$14=$E45,CJ$5:CJ$14))</f>
        <v>#DIV/0!</v>
      </c>
      <c r="CK46" s="74" t="e">
        <f t="array" ref="CK46">_xlfn.STDEV.P(IF($E$5:$E$14=$E45,CK$5:CK$14))</f>
        <v>#DIV/0!</v>
      </c>
      <c r="CL46" s="74" t="e">
        <f t="array" ref="CL46">_xlfn.STDEV.P(IF($E$5:$E$14=$E45,CL$5:CL$14))</f>
        <v>#DIV/0!</v>
      </c>
      <c r="CM46" s="74" t="e">
        <f t="array" ref="CM46">_xlfn.STDEV.P(IF($E$5:$E$14=$E45,CM$5:CM$14))</f>
        <v>#DIV/0!</v>
      </c>
      <c r="CN46" s="74" t="e">
        <f t="array" ref="CN46">_xlfn.STDEV.P(IF($E$5:$E$14=$E45,CN$5:CN$14))</f>
        <v>#DIV/0!</v>
      </c>
      <c r="CO46" s="74" t="e">
        <f t="array" ref="CO46">_xlfn.STDEV.P(IF($E$5:$E$14=$E45,CO$5:CO$14))</f>
        <v>#DIV/0!</v>
      </c>
      <c r="CP46" s="74" t="e">
        <f t="array" ref="CP46">_xlfn.STDEV.P(IF($E$5:$E$14=$E45,CP$5:CP$14))</f>
        <v>#DIV/0!</v>
      </c>
      <c r="CQ46" s="74" t="e">
        <f t="array" ref="CQ46">_xlfn.STDEV.P(IF($E$5:$E$14=$E45,CQ$5:CQ$14))</f>
        <v>#DIV/0!</v>
      </c>
      <c r="CR46" s="74" t="e">
        <f t="array" ref="CR46">_xlfn.STDEV.P(IF($E$5:$E$14=$E45,CR$5:CR$14))</f>
        <v>#DIV/0!</v>
      </c>
      <c r="CS46" s="74" t="e">
        <f t="array" ref="CS46">_xlfn.STDEV.P(IF($E$5:$E$14=$E45,CS$5:CS$14))</f>
        <v>#DIV/0!</v>
      </c>
      <c r="CT46" s="74" t="e">
        <f t="array" ref="CT46">_xlfn.STDEV.P(IF($E$5:$E$14=$E45,CT$5:CT$14))</f>
        <v>#DIV/0!</v>
      </c>
      <c r="CU46" s="74" t="e">
        <f t="array" ref="CU46">_xlfn.STDEV.P(IF($E$5:$E$14=$E45,CU$5:CU$14))</f>
        <v>#DIV/0!</v>
      </c>
      <c r="CV46" s="74" t="e">
        <f t="array" ref="CV46">_xlfn.STDEV.P(IF($E$5:$E$14=$E45,CV$5:CV$14))</f>
        <v>#DIV/0!</v>
      </c>
      <c r="CW46" s="74" t="e">
        <f t="array" ref="CW46">_xlfn.STDEV.P(IF($E$5:$E$14=$E45,CW$5:CW$14))</f>
        <v>#DIV/0!</v>
      </c>
      <c r="CX46" s="74" t="e">
        <f t="array" ref="CX46">_xlfn.STDEV.P(IF($E$5:$E$14=$E45,CX$5:CX$14))</f>
        <v>#DIV/0!</v>
      </c>
      <c r="CY46" s="74" t="e">
        <f t="array" ref="CY46">_xlfn.STDEV.P(IF($E$5:$E$14=$E45,CY$5:CY$14))</f>
        <v>#DIV/0!</v>
      </c>
      <c r="CZ46" s="74" t="e">
        <f t="array" ref="CZ46">_xlfn.STDEV.P(IF($E$5:$E$14=$E45,CZ$5:CZ$14))</f>
        <v>#DIV/0!</v>
      </c>
      <c r="DA46" s="74" t="e">
        <f t="array" ref="DA46">_xlfn.STDEV.P(IF($E$5:$E$14=$E45,DA$5:DA$14))</f>
        <v>#DIV/0!</v>
      </c>
      <c r="DB46" s="74" t="e">
        <f t="array" ref="DB46">_xlfn.STDEV.P(IF($E$5:$E$14=$E45,DB$5:DB$14))</f>
        <v>#DIV/0!</v>
      </c>
      <c r="DC46" s="74" t="e">
        <f t="array" ref="DC46">_xlfn.STDEV.P(IF($E$5:$E$14=$E45,DC$5:DC$14))</f>
        <v>#DIV/0!</v>
      </c>
      <c r="DD46" s="74" t="e">
        <f t="array" ref="DD46">_xlfn.STDEV.P(IF($E$5:$E$14=$E45,DD$5:DD$14))</f>
        <v>#DIV/0!</v>
      </c>
      <c r="DE46" s="74" t="e">
        <f t="array" ref="DE46">_xlfn.STDEV.P(IF($E$5:$E$14=$E45,DE$5:DE$14))</f>
        <v>#DIV/0!</v>
      </c>
      <c r="DF46" s="74" t="e">
        <f t="array" ref="DF46">_xlfn.STDEV.P(IF($E$5:$E$14=$E45,DF$5:DF$14))</f>
        <v>#DIV/0!</v>
      </c>
      <c r="DG46" s="74" t="e">
        <f t="array" ref="DG46">_xlfn.STDEV.P(IF($E$5:$E$14=$E45,DG$5:DG$14))</f>
        <v>#DIV/0!</v>
      </c>
      <c r="DH46" s="74" t="e">
        <f t="array" ref="DH46">_xlfn.STDEV.P(IF($E$5:$E$14=$E45,DH$5:DH$14))</f>
        <v>#DIV/0!</v>
      </c>
      <c r="DI46" s="74" t="e">
        <f t="array" ref="DI46">_xlfn.STDEV.P(IF($E$5:$E$14=$E45,DI$5:DI$14))</f>
        <v>#DIV/0!</v>
      </c>
      <c r="DJ46" s="74" t="e">
        <f t="array" ref="DJ46">_xlfn.STDEV.P(IF($E$5:$E$14=$E45,DJ$5:DJ$14))</f>
        <v>#DIV/0!</v>
      </c>
      <c r="DK46" s="74" t="e">
        <f t="array" ref="DK46">_xlfn.STDEV.P(IF($E$5:$E$14=$E45,DK$5:DK$14))</f>
        <v>#DIV/0!</v>
      </c>
    </row>
    <row r="47" spans="1:115" ht="15">
      <c r="A47" s="113"/>
      <c r="E47" s="118"/>
      <c r="I47" s="52"/>
      <c r="K47" s="57"/>
      <c r="L47" s="57"/>
      <c r="Q47" s="57"/>
      <c r="R47" s="57"/>
      <c r="U47" s="57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</row>
    <row r="48" spans="1:115" ht="14.25" customHeight="1">
      <c r="A48" s="113"/>
      <c r="E48" s="118" t="str">
        <f>'AsPc1 REPEAT Groups'!C14</f>
        <v>Group 9</v>
      </c>
      <c r="I48" s="118" t="str">
        <f>E48</f>
        <v>Group 9</v>
      </c>
      <c r="J48" s="305" t="e">
        <f>AVERAGEIF($E$5:$E$14,$E48,J$5:J$14)</f>
        <v>#DIV/0!</v>
      </c>
      <c r="K48" s="305"/>
      <c r="L48" s="305"/>
      <c r="M48" s="305" t="e">
        <f t="shared" ref="M48:R48" si="45">AVERAGEIF($E$5:$E$14,$E48,M$5:M$14)</f>
        <v>#DIV/0!</v>
      </c>
      <c r="N48" s="305" t="e">
        <f t="shared" si="45"/>
        <v>#DIV/0!</v>
      </c>
      <c r="O48" s="305" t="e">
        <f t="shared" si="45"/>
        <v>#DIV/0!</v>
      </c>
      <c r="P48" s="305" t="e">
        <f t="shared" si="45"/>
        <v>#DIV/0!</v>
      </c>
      <c r="Q48" s="305" t="e">
        <f t="shared" si="45"/>
        <v>#DIV/0!</v>
      </c>
      <c r="R48" s="305" t="e">
        <f t="shared" si="45"/>
        <v>#DIV/0!</v>
      </c>
      <c r="S48" s="303"/>
      <c r="T48" s="303" t="e">
        <f>AVERAGEIF($E$5:$E$14,$E48,T$5:T$14)</f>
        <v>#DIV/0!</v>
      </c>
      <c r="U48" s="305" t="e">
        <f>AVERAGEIF($E$5:$E$14,$E48,U$5:U$14)</f>
        <v>#DIV/0!</v>
      </c>
      <c r="V48" s="72" t="s">
        <v>9</v>
      </c>
      <c r="W48" s="78" t="e">
        <f t="shared" ref="W48:BP48" si="46">AVERAGEIF($E$5:$E$14,$E48,W$5:W$14)</f>
        <v>#DIV/0!</v>
      </c>
      <c r="X48" s="78" t="e">
        <f t="shared" si="46"/>
        <v>#DIV/0!</v>
      </c>
      <c r="Y48" s="78" t="e">
        <f t="shared" si="46"/>
        <v>#DIV/0!</v>
      </c>
      <c r="Z48" s="78" t="e">
        <f t="shared" si="46"/>
        <v>#DIV/0!</v>
      </c>
      <c r="AA48" s="78" t="e">
        <f t="shared" si="46"/>
        <v>#DIV/0!</v>
      </c>
      <c r="AB48" s="78" t="e">
        <f t="shared" si="46"/>
        <v>#DIV/0!</v>
      </c>
      <c r="AC48" s="78" t="e">
        <f t="shared" si="46"/>
        <v>#DIV/0!</v>
      </c>
      <c r="AD48" s="78" t="e">
        <f t="shared" si="46"/>
        <v>#DIV/0!</v>
      </c>
      <c r="AE48" s="78" t="e">
        <f t="shared" si="46"/>
        <v>#DIV/0!</v>
      </c>
      <c r="AF48" s="78" t="e">
        <f t="shared" si="46"/>
        <v>#DIV/0!</v>
      </c>
      <c r="AG48" s="78" t="e">
        <f t="shared" si="46"/>
        <v>#DIV/0!</v>
      </c>
      <c r="AH48" s="78" t="e">
        <f t="shared" si="46"/>
        <v>#DIV/0!</v>
      </c>
      <c r="AI48" s="78" t="e">
        <f t="shared" si="46"/>
        <v>#DIV/0!</v>
      </c>
      <c r="AJ48" s="78" t="e">
        <f t="shared" si="46"/>
        <v>#DIV/0!</v>
      </c>
      <c r="AK48" s="78" t="e">
        <f t="shared" si="46"/>
        <v>#DIV/0!</v>
      </c>
      <c r="AL48" s="78" t="e">
        <f t="shared" si="46"/>
        <v>#DIV/0!</v>
      </c>
      <c r="AM48" s="78" t="e">
        <f t="shared" si="46"/>
        <v>#DIV/0!</v>
      </c>
      <c r="AN48" s="78" t="e">
        <f t="shared" si="46"/>
        <v>#DIV/0!</v>
      </c>
      <c r="AO48" s="78" t="e">
        <f t="shared" si="46"/>
        <v>#DIV/0!</v>
      </c>
      <c r="AP48" s="78" t="e">
        <f t="shared" si="46"/>
        <v>#DIV/0!</v>
      </c>
      <c r="AQ48" s="78" t="e">
        <f t="shared" si="46"/>
        <v>#DIV/0!</v>
      </c>
      <c r="AR48" s="78" t="e">
        <f t="shared" si="46"/>
        <v>#DIV/0!</v>
      </c>
      <c r="AS48" s="78" t="e">
        <f t="shared" si="46"/>
        <v>#DIV/0!</v>
      </c>
      <c r="AT48" s="78" t="e">
        <f t="shared" si="46"/>
        <v>#DIV/0!</v>
      </c>
      <c r="AU48" s="78" t="e">
        <f t="shared" si="46"/>
        <v>#DIV/0!</v>
      </c>
      <c r="AV48" s="78" t="e">
        <f t="shared" si="46"/>
        <v>#DIV/0!</v>
      </c>
      <c r="AW48" s="78" t="e">
        <f t="shared" si="46"/>
        <v>#DIV/0!</v>
      </c>
      <c r="AX48" s="78" t="e">
        <f t="shared" si="46"/>
        <v>#DIV/0!</v>
      </c>
      <c r="AY48" s="78" t="e">
        <f t="shared" si="46"/>
        <v>#DIV/0!</v>
      </c>
      <c r="AZ48" s="78" t="e">
        <f t="shared" si="46"/>
        <v>#DIV/0!</v>
      </c>
      <c r="BA48" s="78" t="e">
        <f t="shared" si="46"/>
        <v>#DIV/0!</v>
      </c>
      <c r="BB48" s="78" t="e">
        <f t="shared" si="46"/>
        <v>#DIV/0!</v>
      </c>
      <c r="BC48" s="78" t="e">
        <f t="shared" si="46"/>
        <v>#DIV/0!</v>
      </c>
      <c r="BD48" s="78" t="e">
        <f t="shared" si="46"/>
        <v>#DIV/0!</v>
      </c>
      <c r="BE48" s="78" t="e">
        <f t="shared" si="46"/>
        <v>#DIV/0!</v>
      </c>
      <c r="BF48" s="78" t="e">
        <f t="shared" si="46"/>
        <v>#DIV/0!</v>
      </c>
      <c r="BG48" s="78" t="e">
        <f t="shared" si="46"/>
        <v>#DIV/0!</v>
      </c>
      <c r="BH48" s="78" t="e">
        <f t="shared" si="46"/>
        <v>#DIV/0!</v>
      </c>
      <c r="BI48" s="78" t="e">
        <f t="shared" si="46"/>
        <v>#DIV/0!</v>
      </c>
      <c r="BJ48" s="78" t="e">
        <f t="shared" si="46"/>
        <v>#DIV/0!</v>
      </c>
      <c r="BK48" s="78" t="e">
        <f t="shared" si="46"/>
        <v>#DIV/0!</v>
      </c>
      <c r="BL48" s="78" t="e">
        <f t="shared" si="46"/>
        <v>#DIV/0!</v>
      </c>
      <c r="BM48" s="78" t="e">
        <f t="shared" si="46"/>
        <v>#DIV/0!</v>
      </c>
      <c r="BN48" s="78" t="e">
        <f t="shared" si="46"/>
        <v>#DIV/0!</v>
      </c>
      <c r="BO48" s="78" t="e">
        <f t="shared" si="46"/>
        <v>#DIV/0!</v>
      </c>
      <c r="BP48" s="78" t="e">
        <f t="shared" si="46"/>
        <v>#DIV/0!</v>
      </c>
      <c r="BQ48" s="103" t="s">
        <v>9</v>
      </c>
      <c r="BR48" s="73" t="e">
        <f t="shared" ref="BR48:DK48" si="47">AVERAGEIF($E$5:$E$14,$E48,BR$5:BR$14)</f>
        <v>#DIV/0!</v>
      </c>
      <c r="BS48" s="73" t="e">
        <f t="shared" si="47"/>
        <v>#DIV/0!</v>
      </c>
      <c r="BT48" s="73" t="e">
        <f t="shared" si="47"/>
        <v>#DIV/0!</v>
      </c>
      <c r="BU48" s="73" t="e">
        <f t="shared" si="47"/>
        <v>#DIV/0!</v>
      </c>
      <c r="BV48" s="73" t="e">
        <f t="shared" si="47"/>
        <v>#DIV/0!</v>
      </c>
      <c r="BW48" s="73" t="e">
        <f t="shared" si="47"/>
        <v>#DIV/0!</v>
      </c>
      <c r="BX48" s="73" t="e">
        <f t="shared" si="47"/>
        <v>#DIV/0!</v>
      </c>
      <c r="BY48" s="73" t="e">
        <f t="shared" si="47"/>
        <v>#DIV/0!</v>
      </c>
      <c r="BZ48" s="73" t="e">
        <f t="shared" si="47"/>
        <v>#DIV/0!</v>
      </c>
      <c r="CA48" s="73" t="e">
        <f t="shared" si="47"/>
        <v>#DIV/0!</v>
      </c>
      <c r="CB48" s="73" t="e">
        <f t="shared" si="47"/>
        <v>#DIV/0!</v>
      </c>
      <c r="CC48" s="73" t="e">
        <f t="shared" si="47"/>
        <v>#DIV/0!</v>
      </c>
      <c r="CD48" s="73" t="e">
        <f t="shared" si="47"/>
        <v>#DIV/0!</v>
      </c>
      <c r="CE48" s="73" t="e">
        <f t="shared" si="47"/>
        <v>#DIV/0!</v>
      </c>
      <c r="CF48" s="73" t="e">
        <f t="shared" si="47"/>
        <v>#DIV/0!</v>
      </c>
      <c r="CG48" s="73" t="e">
        <f t="shared" si="47"/>
        <v>#DIV/0!</v>
      </c>
      <c r="CH48" s="73" t="e">
        <f t="shared" si="47"/>
        <v>#DIV/0!</v>
      </c>
      <c r="CI48" s="73" t="e">
        <f t="shared" si="47"/>
        <v>#DIV/0!</v>
      </c>
      <c r="CJ48" s="73" t="e">
        <f t="shared" si="47"/>
        <v>#DIV/0!</v>
      </c>
      <c r="CK48" s="73" t="e">
        <f t="shared" si="47"/>
        <v>#DIV/0!</v>
      </c>
      <c r="CL48" s="73" t="e">
        <f t="shared" si="47"/>
        <v>#DIV/0!</v>
      </c>
      <c r="CM48" s="73" t="e">
        <f t="shared" si="47"/>
        <v>#DIV/0!</v>
      </c>
      <c r="CN48" s="73" t="e">
        <f t="shared" si="47"/>
        <v>#DIV/0!</v>
      </c>
      <c r="CO48" s="73" t="e">
        <f t="shared" si="47"/>
        <v>#DIV/0!</v>
      </c>
      <c r="CP48" s="73" t="e">
        <f t="shared" si="47"/>
        <v>#DIV/0!</v>
      </c>
      <c r="CQ48" s="73" t="e">
        <f t="shared" si="47"/>
        <v>#DIV/0!</v>
      </c>
      <c r="CR48" s="73" t="e">
        <f t="shared" si="47"/>
        <v>#DIV/0!</v>
      </c>
      <c r="CS48" s="73" t="e">
        <f t="shared" si="47"/>
        <v>#DIV/0!</v>
      </c>
      <c r="CT48" s="73" t="e">
        <f t="shared" si="47"/>
        <v>#DIV/0!</v>
      </c>
      <c r="CU48" s="73" t="e">
        <f t="shared" si="47"/>
        <v>#DIV/0!</v>
      </c>
      <c r="CV48" s="73" t="e">
        <f t="shared" si="47"/>
        <v>#DIV/0!</v>
      </c>
      <c r="CW48" s="73" t="e">
        <f t="shared" si="47"/>
        <v>#DIV/0!</v>
      </c>
      <c r="CX48" s="73" t="e">
        <f t="shared" si="47"/>
        <v>#DIV/0!</v>
      </c>
      <c r="CY48" s="73" t="e">
        <f t="shared" si="47"/>
        <v>#DIV/0!</v>
      </c>
      <c r="CZ48" s="73" t="e">
        <f t="shared" si="47"/>
        <v>#DIV/0!</v>
      </c>
      <c r="DA48" s="73" t="e">
        <f t="shared" si="47"/>
        <v>#DIV/0!</v>
      </c>
      <c r="DB48" s="73" t="e">
        <f t="shared" si="47"/>
        <v>#DIV/0!</v>
      </c>
      <c r="DC48" s="73" t="e">
        <f t="shared" si="47"/>
        <v>#DIV/0!</v>
      </c>
      <c r="DD48" s="73" t="e">
        <f t="shared" si="47"/>
        <v>#DIV/0!</v>
      </c>
      <c r="DE48" s="73" t="e">
        <f t="shared" si="47"/>
        <v>#DIV/0!</v>
      </c>
      <c r="DF48" s="73" t="e">
        <f t="shared" si="47"/>
        <v>#DIV/0!</v>
      </c>
      <c r="DG48" s="73" t="e">
        <f t="shared" si="47"/>
        <v>#DIV/0!</v>
      </c>
      <c r="DH48" s="73" t="e">
        <f t="shared" si="47"/>
        <v>#DIV/0!</v>
      </c>
      <c r="DI48" s="73" t="e">
        <f t="shared" si="47"/>
        <v>#DIV/0!</v>
      </c>
      <c r="DJ48" s="73" t="e">
        <f t="shared" si="47"/>
        <v>#DIV/0!</v>
      </c>
      <c r="DK48" s="73" t="e">
        <f t="shared" si="47"/>
        <v>#DIV/0!</v>
      </c>
    </row>
    <row r="49" spans="1:115" ht="14.25" customHeight="1">
      <c r="A49" s="113"/>
      <c r="E49" s="93"/>
      <c r="I49" s="93"/>
      <c r="J49" s="305" t="e">
        <f t="array" ref="J49">_xlfn.STDEV.P(IF($E$5:$E$14=$E48,J$5:J$14))</f>
        <v>#DIV/0!</v>
      </c>
      <c r="K49" s="305"/>
      <c r="L49" s="305"/>
      <c r="M49" s="305" t="e">
        <f t="array" ref="M49">_xlfn.STDEV.P(IF($E$5:$E$14=$E48,M$5:M$14))</f>
        <v>#DIV/0!</v>
      </c>
      <c r="N49" s="305" t="e">
        <f t="array" ref="N49">_xlfn.STDEV.P(IF($E$5:$E$14=$E48,N$5:N$14))</f>
        <v>#DIV/0!</v>
      </c>
      <c r="O49" s="305" t="e">
        <f t="array" ref="O49">_xlfn.STDEV.P(IF($E$5:$E$14=$E48,O$5:O$14))</f>
        <v>#DIV/0!</v>
      </c>
      <c r="P49" s="305" t="e">
        <f t="array" ref="P49">_xlfn.STDEV.P(IF($E$5:$E$14=$E48,P$5:P$14))</f>
        <v>#DIV/0!</v>
      </c>
      <c r="Q49" s="305" t="e">
        <f t="array" ref="Q49">_xlfn.STDEV.P(IF($E$5:$E$14=$E48,Q$5:Q$14))</f>
        <v>#DIV/0!</v>
      </c>
      <c r="R49" s="305" t="e">
        <f t="array" ref="R49">_xlfn.STDEV.P(IF($E$5:$E$14=$E48,R$5:R$14))</f>
        <v>#DIV/0!</v>
      </c>
      <c r="S49" s="303"/>
      <c r="T49" s="303" t="e">
        <f t="array" ref="T49">_xlfn.STDEV.P(IF($E$5:$E$14=$E48,T$5:T$14))</f>
        <v>#DIV/0!</v>
      </c>
      <c r="U49" s="305" t="e">
        <f t="array" ref="U49">_xlfn.STDEV.P(IF($E$5:$E$14=$E48,U$5:U$14))</f>
        <v>#DIV/0!</v>
      </c>
      <c r="V49" s="72" t="s">
        <v>11</v>
      </c>
      <c r="W49" s="81" t="e">
        <f t="array" ref="W49">_xlfn.STDEV.P(IF($E$5:$E$14=$E48,W$5:W$14))</f>
        <v>#DIV/0!</v>
      </c>
      <c r="X49" s="81" t="e">
        <f t="array" ref="X49">_xlfn.STDEV.P(IF($E$5:$E$14=$E48,X$5:X$14))</f>
        <v>#DIV/0!</v>
      </c>
      <c r="Y49" s="81" t="e">
        <f t="array" ref="Y49">_xlfn.STDEV.P(IF($E$5:$E$14=$E48,Y$5:Y$14))</f>
        <v>#DIV/0!</v>
      </c>
      <c r="Z49" s="81" t="e">
        <f t="array" ref="Z49">_xlfn.STDEV.P(IF($E$5:$E$14=$E48,Z$5:Z$14))</f>
        <v>#DIV/0!</v>
      </c>
      <c r="AA49" s="81" t="e">
        <f t="array" ref="AA49">_xlfn.STDEV.P(IF($E$5:$E$14=$E48,AA$5:AA$14))</f>
        <v>#DIV/0!</v>
      </c>
      <c r="AB49" s="81" t="e">
        <f t="array" ref="AB49">_xlfn.STDEV.P(IF($E$5:$E$14=$E48,AB$5:AB$14))</f>
        <v>#DIV/0!</v>
      </c>
      <c r="AC49" s="81" t="e">
        <f t="array" ref="AC49">_xlfn.STDEV.P(IF($E$5:$E$14=$E48,AC$5:AC$14))</f>
        <v>#DIV/0!</v>
      </c>
      <c r="AD49" s="81" t="e">
        <f t="array" ref="AD49">_xlfn.STDEV.P(IF($E$5:$E$14=$E48,AD$5:AD$14))</f>
        <v>#DIV/0!</v>
      </c>
      <c r="AE49" s="81" t="e">
        <f t="array" ref="AE49">_xlfn.STDEV.P(IF($E$5:$E$14=$E48,AE$5:AE$14))</f>
        <v>#DIV/0!</v>
      </c>
      <c r="AF49" s="81" t="e">
        <f t="array" ref="AF49">_xlfn.STDEV.P(IF($E$5:$E$14=$E48,AF$5:AF$14))</f>
        <v>#DIV/0!</v>
      </c>
      <c r="AG49" s="81" t="e">
        <f t="array" ref="AG49">_xlfn.STDEV.P(IF($E$5:$E$14=$E48,AG$5:AG$14))</f>
        <v>#DIV/0!</v>
      </c>
      <c r="AH49" s="81" t="e">
        <f t="array" ref="AH49">_xlfn.STDEV.P(IF($E$5:$E$14=$E48,AH$5:AH$14))</f>
        <v>#DIV/0!</v>
      </c>
      <c r="AI49" s="81" t="e">
        <f t="array" ref="AI49">_xlfn.STDEV.P(IF($E$5:$E$14=$E48,AI$5:AI$14))</f>
        <v>#DIV/0!</v>
      </c>
      <c r="AJ49" s="81" t="e">
        <f t="array" ref="AJ49">_xlfn.STDEV.P(IF($E$5:$E$14=$E48,AJ$5:AJ$14))</f>
        <v>#DIV/0!</v>
      </c>
      <c r="AK49" s="81" t="e">
        <f t="array" ref="AK49">_xlfn.STDEV.P(IF($E$5:$E$14=$E48,AK$5:AK$14))</f>
        <v>#DIV/0!</v>
      </c>
      <c r="AL49" s="81" t="e">
        <f t="array" ref="AL49">_xlfn.STDEV.P(IF($E$5:$E$14=$E48,AL$5:AL$14))</f>
        <v>#DIV/0!</v>
      </c>
      <c r="AM49" s="81" t="e">
        <f t="array" ref="AM49">_xlfn.STDEV.P(IF($E$5:$E$14=$E48,AM$5:AM$14))</f>
        <v>#DIV/0!</v>
      </c>
      <c r="AN49" s="81" t="e">
        <f t="array" ref="AN49">_xlfn.STDEV.P(IF($E$5:$E$14=$E48,AN$5:AN$14))</f>
        <v>#DIV/0!</v>
      </c>
      <c r="AO49" s="81" t="e">
        <f t="array" ref="AO49">_xlfn.STDEV.P(IF($E$5:$E$14=$E48,AO$5:AO$14))</f>
        <v>#DIV/0!</v>
      </c>
      <c r="AP49" s="81" t="e">
        <f t="array" ref="AP49">_xlfn.STDEV.P(IF($E$5:$E$14=$E48,AP$5:AP$14))</f>
        <v>#DIV/0!</v>
      </c>
      <c r="AQ49" s="81" t="e">
        <f t="array" ref="AQ49">_xlfn.STDEV.P(IF($E$5:$E$14=$E48,AQ$5:AQ$14))</f>
        <v>#DIV/0!</v>
      </c>
      <c r="AR49" s="81" t="e">
        <f t="array" ref="AR49">_xlfn.STDEV.P(IF($E$5:$E$14=$E48,AR$5:AR$14))</f>
        <v>#DIV/0!</v>
      </c>
      <c r="AS49" s="81" t="e">
        <f t="array" ref="AS49">_xlfn.STDEV.P(IF($E$5:$E$14=$E48,AS$5:AS$14))</f>
        <v>#DIV/0!</v>
      </c>
      <c r="AT49" s="81" t="e">
        <f t="array" ref="AT49">_xlfn.STDEV.P(IF($E$5:$E$14=$E48,AT$5:AT$14))</f>
        <v>#DIV/0!</v>
      </c>
      <c r="AU49" s="81" t="e">
        <f t="array" ref="AU49">_xlfn.STDEV.P(IF($E$5:$E$14=$E48,AU$5:AU$14))</f>
        <v>#DIV/0!</v>
      </c>
      <c r="AV49" s="81" t="e">
        <f t="array" ref="AV49">_xlfn.STDEV.P(IF($E$5:$E$14=$E48,AV$5:AV$14))</f>
        <v>#DIV/0!</v>
      </c>
      <c r="AW49" s="81" t="e">
        <f t="array" ref="AW49">_xlfn.STDEV.P(IF($E$5:$E$14=$E48,AW$5:AW$14))</f>
        <v>#DIV/0!</v>
      </c>
      <c r="AX49" s="81" t="e">
        <f t="array" ref="AX49">_xlfn.STDEV.P(IF($E$5:$E$14=$E48,AX$5:AX$14))</f>
        <v>#DIV/0!</v>
      </c>
      <c r="AY49" s="81" t="e">
        <f t="array" ref="AY49">_xlfn.STDEV.P(IF($E$5:$E$14=$E48,AY$5:AY$14))</f>
        <v>#DIV/0!</v>
      </c>
      <c r="AZ49" s="81" t="e">
        <f t="array" ref="AZ49">_xlfn.STDEV.P(IF($E$5:$E$14=$E48,AZ$5:AZ$14))</f>
        <v>#DIV/0!</v>
      </c>
      <c r="BA49" s="81" t="e">
        <f t="array" ref="BA49">_xlfn.STDEV.P(IF($E$5:$E$14=$E48,BA$5:BA$14))</f>
        <v>#DIV/0!</v>
      </c>
      <c r="BB49" s="81" t="e">
        <f t="array" ref="BB49">_xlfn.STDEV.P(IF($E$5:$E$14=$E48,BB$5:BB$14))</f>
        <v>#DIV/0!</v>
      </c>
      <c r="BC49" s="81" t="e">
        <f t="array" ref="BC49">_xlfn.STDEV.P(IF($E$5:$E$14=$E48,BC$5:BC$14))</f>
        <v>#DIV/0!</v>
      </c>
      <c r="BD49" s="81" t="e">
        <f t="array" ref="BD49">_xlfn.STDEV.P(IF($E$5:$E$14=$E48,BD$5:BD$14))</f>
        <v>#DIV/0!</v>
      </c>
      <c r="BE49" s="81" t="e">
        <f t="array" ref="BE49">_xlfn.STDEV.P(IF($E$5:$E$14=$E48,BE$5:BE$14))</f>
        <v>#DIV/0!</v>
      </c>
      <c r="BF49" s="81" t="e">
        <f t="array" ref="BF49">_xlfn.STDEV.P(IF($E$5:$E$14=$E48,BF$5:BF$14))</f>
        <v>#DIV/0!</v>
      </c>
      <c r="BG49" s="81" t="e">
        <f t="array" ref="BG49">_xlfn.STDEV.P(IF($E$5:$E$14=$E48,BG$5:BG$14))</f>
        <v>#DIV/0!</v>
      </c>
      <c r="BH49" s="81" t="e">
        <f t="array" ref="BH49">_xlfn.STDEV.P(IF($E$5:$E$14=$E48,BH$5:BH$14))</f>
        <v>#DIV/0!</v>
      </c>
      <c r="BI49" s="81" t="e">
        <f t="array" ref="BI49">_xlfn.STDEV.P(IF($E$5:$E$14=$E48,BI$5:BI$14))</f>
        <v>#DIV/0!</v>
      </c>
      <c r="BJ49" s="81" t="e">
        <f t="array" ref="BJ49">_xlfn.STDEV.P(IF($E$5:$E$14=$E48,BJ$5:BJ$14))</f>
        <v>#DIV/0!</v>
      </c>
      <c r="BK49" s="81" t="e">
        <f t="array" ref="BK49">_xlfn.STDEV.P(IF($E$5:$E$14=$E48,BK$5:BK$14))</f>
        <v>#DIV/0!</v>
      </c>
      <c r="BL49" s="81" t="e">
        <f t="array" ref="BL49">_xlfn.STDEV.P(IF($E$5:$E$14=$E48,BL$5:BL$14))</f>
        <v>#DIV/0!</v>
      </c>
      <c r="BM49" s="81" t="e">
        <f t="array" ref="BM49">_xlfn.STDEV.P(IF($E$5:$E$14=$E48,BM$5:BM$14))</f>
        <v>#DIV/0!</v>
      </c>
      <c r="BN49" s="81" t="e">
        <f t="array" ref="BN49">_xlfn.STDEV.P(IF($E$5:$E$14=$E48,BN$5:BN$14))</f>
        <v>#DIV/0!</v>
      </c>
      <c r="BO49" s="81" t="e">
        <f t="array" ref="BO49">_xlfn.STDEV.P(IF($E$5:$E$14=$E48,BO$5:BO$14))</f>
        <v>#DIV/0!</v>
      </c>
      <c r="BP49" s="81" t="e">
        <f t="array" ref="BP49">_xlfn.STDEV.P(IF($E$5:$E$14=$E48,BP$5:BP$14))</f>
        <v>#DIV/0!</v>
      </c>
      <c r="BQ49" s="104" t="s">
        <v>11</v>
      </c>
      <c r="BR49" s="74" t="e">
        <f t="array" ref="BR49">_xlfn.STDEV.P(IF($E$5:$E$14=$E48,BR$5:BR$14))</f>
        <v>#DIV/0!</v>
      </c>
      <c r="BS49" s="74" t="e">
        <f t="array" ref="BS49">_xlfn.STDEV.P(IF($E$5:$E$14=$E48,BS$5:BS$14))</f>
        <v>#DIV/0!</v>
      </c>
      <c r="BT49" s="74" t="e">
        <f t="array" ref="BT49">_xlfn.STDEV.P(IF($E$5:$E$14=$E48,BT$5:BT$14))</f>
        <v>#DIV/0!</v>
      </c>
      <c r="BU49" s="74" t="e">
        <f t="array" ref="BU49">_xlfn.STDEV.P(IF($E$5:$E$14=$E48,BU$5:BU$14))</f>
        <v>#DIV/0!</v>
      </c>
      <c r="BV49" s="74" t="e">
        <f t="array" ref="BV49">_xlfn.STDEV.P(IF($E$5:$E$14=$E48,BV$5:BV$14))</f>
        <v>#DIV/0!</v>
      </c>
      <c r="BW49" s="74" t="e">
        <f t="array" ref="BW49">_xlfn.STDEV.P(IF($E$5:$E$14=$E48,BW$5:BW$14))</f>
        <v>#DIV/0!</v>
      </c>
      <c r="BX49" s="74" t="e">
        <f t="array" ref="BX49">_xlfn.STDEV.P(IF($E$5:$E$14=$E48,BX$5:BX$14))</f>
        <v>#DIV/0!</v>
      </c>
      <c r="BY49" s="74" t="e">
        <f t="array" ref="BY49">_xlfn.STDEV.P(IF($E$5:$E$14=$E48,BY$5:BY$14))</f>
        <v>#DIV/0!</v>
      </c>
      <c r="BZ49" s="74" t="e">
        <f t="array" ref="BZ49">_xlfn.STDEV.P(IF($E$5:$E$14=$E48,BZ$5:BZ$14))</f>
        <v>#DIV/0!</v>
      </c>
      <c r="CA49" s="74" t="e">
        <f t="array" ref="CA49">_xlfn.STDEV.P(IF($E$5:$E$14=$E48,CA$5:CA$14))</f>
        <v>#DIV/0!</v>
      </c>
      <c r="CB49" s="74" t="e">
        <f t="array" ref="CB49">_xlfn.STDEV.P(IF($E$5:$E$14=$E48,CB$5:CB$14))</f>
        <v>#DIV/0!</v>
      </c>
      <c r="CC49" s="74" t="e">
        <f t="array" ref="CC49">_xlfn.STDEV.P(IF($E$5:$E$14=$E48,CC$5:CC$14))</f>
        <v>#DIV/0!</v>
      </c>
      <c r="CD49" s="74" t="e">
        <f t="array" ref="CD49">_xlfn.STDEV.P(IF($E$5:$E$14=$E48,CD$5:CD$14))</f>
        <v>#DIV/0!</v>
      </c>
      <c r="CE49" s="74" t="e">
        <f t="array" ref="CE49">_xlfn.STDEV.P(IF($E$5:$E$14=$E48,CE$5:CE$14))</f>
        <v>#DIV/0!</v>
      </c>
      <c r="CF49" s="74" t="e">
        <f t="array" ref="CF49">_xlfn.STDEV.P(IF($E$5:$E$14=$E48,CF$5:CF$14))</f>
        <v>#DIV/0!</v>
      </c>
      <c r="CG49" s="74" t="e">
        <f t="array" ref="CG49">_xlfn.STDEV.P(IF($E$5:$E$14=$E48,CG$5:CG$14))</f>
        <v>#DIV/0!</v>
      </c>
      <c r="CH49" s="74" t="e">
        <f t="array" ref="CH49">_xlfn.STDEV.P(IF($E$5:$E$14=$E48,CH$5:CH$14))</f>
        <v>#DIV/0!</v>
      </c>
      <c r="CI49" s="74" t="e">
        <f t="array" ref="CI49">_xlfn.STDEV.P(IF($E$5:$E$14=$E48,CI$5:CI$14))</f>
        <v>#DIV/0!</v>
      </c>
      <c r="CJ49" s="74" t="e">
        <f t="array" ref="CJ49">_xlfn.STDEV.P(IF($E$5:$E$14=$E48,CJ$5:CJ$14))</f>
        <v>#DIV/0!</v>
      </c>
      <c r="CK49" s="74" t="e">
        <f t="array" ref="CK49">_xlfn.STDEV.P(IF($E$5:$E$14=$E48,CK$5:CK$14))</f>
        <v>#DIV/0!</v>
      </c>
      <c r="CL49" s="74" t="e">
        <f t="array" ref="CL49">_xlfn.STDEV.P(IF($E$5:$E$14=$E48,CL$5:CL$14))</f>
        <v>#DIV/0!</v>
      </c>
      <c r="CM49" s="74" t="e">
        <f t="array" ref="CM49">_xlfn.STDEV.P(IF($E$5:$E$14=$E48,CM$5:CM$14))</f>
        <v>#DIV/0!</v>
      </c>
      <c r="CN49" s="74" t="e">
        <f t="array" ref="CN49">_xlfn.STDEV.P(IF($E$5:$E$14=$E48,CN$5:CN$14))</f>
        <v>#DIV/0!</v>
      </c>
      <c r="CO49" s="74" t="e">
        <f t="array" ref="CO49">_xlfn.STDEV.P(IF($E$5:$E$14=$E48,CO$5:CO$14))</f>
        <v>#DIV/0!</v>
      </c>
      <c r="CP49" s="74" t="e">
        <f t="array" ref="CP49">_xlfn.STDEV.P(IF($E$5:$E$14=$E48,CP$5:CP$14))</f>
        <v>#DIV/0!</v>
      </c>
      <c r="CQ49" s="74" t="e">
        <f t="array" ref="CQ49">_xlfn.STDEV.P(IF($E$5:$E$14=$E48,CQ$5:CQ$14))</f>
        <v>#DIV/0!</v>
      </c>
      <c r="CR49" s="74" t="e">
        <f t="array" ref="CR49">_xlfn.STDEV.P(IF($E$5:$E$14=$E48,CR$5:CR$14))</f>
        <v>#DIV/0!</v>
      </c>
      <c r="CS49" s="74" t="e">
        <f t="array" ref="CS49">_xlfn.STDEV.P(IF($E$5:$E$14=$E48,CS$5:CS$14))</f>
        <v>#DIV/0!</v>
      </c>
      <c r="CT49" s="74" t="e">
        <f t="array" ref="CT49">_xlfn.STDEV.P(IF($E$5:$E$14=$E48,CT$5:CT$14))</f>
        <v>#DIV/0!</v>
      </c>
      <c r="CU49" s="74" t="e">
        <f t="array" ref="CU49">_xlfn.STDEV.P(IF($E$5:$E$14=$E48,CU$5:CU$14))</f>
        <v>#DIV/0!</v>
      </c>
      <c r="CV49" s="74" t="e">
        <f t="array" ref="CV49">_xlfn.STDEV.P(IF($E$5:$E$14=$E48,CV$5:CV$14))</f>
        <v>#DIV/0!</v>
      </c>
      <c r="CW49" s="74" t="e">
        <f t="array" ref="CW49">_xlfn.STDEV.P(IF($E$5:$E$14=$E48,CW$5:CW$14))</f>
        <v>#DIV/0!</v>
      </c>
      <c r="CX49" s="74" t="e">
        <f t="array" ref="CX49">_xlfn.STDEV.P(IF($E$5:$E$14=$E48,CX$5:CX$14))</f>
        <v>#DIV/0!</v>
      </c>
      <c r="CY49" s="74" t="e">
        <f t="array" ref="CY49">_xlfn.STDEV.P(IF($E$5:$E$14=$E48,CY$5:CY$14))</f>
        <v>#DIV/0!</v>
      </c>
      <c r="CZ49" s="74" t="e">
        <f t="array" ref="CZ49">_xlfn.STDEV.P(IF($E$5:$E$14=$E48,CZ$5:CZ$14))</f>
        <v>#DIV/0!</v>
      </c>
      <c r="DA49" s="74" t="e">
        <f t="array" ref="DA49">_xlfn.STDEV.P(IF($E$5:$E$14=$E48,DA$5:DA$14))</f>
        <v>#DIV/0!</v>
      </c>
      <c r="DB49" s="74" t="e">
        <f t="array" ref="DB49">_xlfn.STDEV.P(IF($E$5:$E$14=$E48,DB$5:DB$14))</f>
        <v>#DIV/0!</v>
      </c>
      <c r="DC49" s="74" t="e">
        <f t="array" ref="DC49">_xlfn.STDEV.P(IF($E$5:$E$14=$E48,DC$5:DC$14))</f>
        <v>#DIV/0!</v>
      </c>
      <c r="DD49" s="74" t="e">
        <f t="array" ref="DD49">_xlfn.STDEV.P(IF($E$5:$E$14=$E48,DD$5:DD$14))</f>
        <v>#DIV/0!</v>
      </c>
      <c r="DE49" s="74" t="e">
        <f t="array" ref="DE49">_xlfn.STDEV.P(IF($E$5:$E$14=$E48,DE$5:DE$14))</f>
        <v>#DIV/0!</v>
      </c>
      <c r="DF49" s="74" t="e">
        <f t="array" ref="DF49">_xlfn.STDEV.P(IF($E$5:$E$14=$E48,DF$5:DF$14))</f>
        <v>#DIV/0!</v>
      </c>
      <c r="DG49" s="74" t="e">
        <f t="array" ref="DG49">_xlfn.STDEV.P(IF($E$5:$E$14=$E48,DG$5:DG$14))</f>
        <v>#DIV/0!</v>
      </c>
      <c r="DH49" s="74" t="e">
        <f t="array" ref="DH49">_xlfn.STDEV.P(IF($E$5:$E$14=$E48,DH$5:DH$14))</f>
        <v>#DIV/0!</v>
      </c>
      <c r="DI49" s="74" t="e">
        <f t="array" ref="DI49">_xlfn.STDEV.P(IF($E$5:$E$14=$E48,DI$5:DI$14))</f>
        <v>#DIV/0!</v>
      </c>
      <c r="DJ49" s="74" t="e">
        <f t="array" ref="DJ49">_xlfn.STDEV.P(IF($E$5:$E$14=$E48,DJ$5:DJ$14))</f>
        <v>#DIV/0!</v>
      </c>
      <c r="DK49" s="74" t="e">
        <f t="array" ref="DK49">_xlfn.STDEV.P(IF($E$5:$E$14=$E48,DK$5:DK$14))</f>
        <v>#DIV/0!</v>
      </c>
    </row>
    <row r="50" spans="1:115">
      <c r="Q50" s="57"/>
      <c r="R50" s="57"/>
      <c r="U50" s="57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</row>
    <row r="51" spans="1:115">
      <c r="Q51" s="57"/>
      <c r="R51" s="57"/>
      <c r="U51" s="57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</row>
    <row r="52" spans="1:115">
      <c r="Q52" s="57"/>
      <c r="R52" s="57"/>
      <c r="U52" s="57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</row>
    <row r="53" spans="1:115">
      <c r="Q53" s="57"/>
      <c r="R53" s="57"/>
      <c r="U53" s="57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</row>
    <row r="54" spans="1:115">
      <c r="Q54" s="57"/>
      <c r="R54" s="57"/>
      <c r="U54" s="57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</row>
    <row r="55" spans="1:115">
      <c r="Q55" s="57"/>
      <c r="R55" s="57"/>
      <c r="U55" s="57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</row>
    <row r="56" spans="1:115">
      <c r="Q56" s="155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</row>
    <row r="57" spans="1:115">
      <c r="Q57" s="155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</row>
    <row r="58" spans="1:115">
      <c r="Q58" s="155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</row>
    <row r="59" spans="1:115">
      <c r="Q59" s="155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</row>
    <row r="60" spans="1:115">
      <c r="Q60" s="155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</row>
    <row r="61" spans="1:115">
      <c r="Q61" s="155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</row>
    <row r="62" spans="1:115">
      <c r="Q62" s="155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</row>
    <row r="63" spans="1:115">
      <c r="Q63" s="155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</row>
    <row r="64" spans="1:115">
      <c r="Q64" s="155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</row>
    <row r="65" spans="17:68">
      <c r="Q65" s="155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</row>
    <row r="66" spans="17:68">
      <c r="Q66" s="155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</row>
    <row r="67" spans="17:68">
      <c r="Q67" s="155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</row>
    <row r="68" spans="17:68">
      <c r="Q68" s="155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</row>
    <row r="69" spans="17:68">
      <c r="Q69" s="155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</row>
    <row r="70" spans="17:68">
      <c r="Q70" s="155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</row>
    <row r="71" spans="17:68">
      <c r="Q71" s="155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</row>
    <row r="72" spans="17:68">
      <c r="Q72" s="155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</row>
    <row r="73" spans="17:68">
      <c r="Q73" s="155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</row>
    <row r="74" spans="17:68">
      <c r="Q74" s="155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</row>
    <row r="75" spans="17:68">
      <c r="Q75" s="155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</row>
    <row r="76" spans="17:68">
      <c r="Q76" s="155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</row>
    <row r="77" spans="17:68">
      <c r="Q77" s="155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</row>
    <row r="78" spans="17:68">
      <c r="Q78" s="155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</row>
    <row r="79" spans="17:68">
      <c r="Q79" s="155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</row>
    <row r="80" spans="17:68">
      <c r="Q80" s="155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  <c r="BP80" s="79"/>
    </row>
    <row r="81" spans="17:68">
      <c r="Q81" s="155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</row>
    <row r="82" spans="17:68">
      <c r="Q82" s="155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</row>
    <row r="83" spans="17:68">
      <c r="Q83" s="155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</row>
    <row r="84" spans="17:68">
      <c r="Q84" s="155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</row>
    <row r="85" spans="17:68">
      <c r="Q85" s="155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</row>
    <row r="86" spans="17:68">
      <c r="Q86" s="155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</row>
    <row r="87" spans="17:68">
      <c r="Q87" s="155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</row>
    <row r="88" spans="17:68">
      <c r="Q88" s="155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</row>
    <row r="89" spans="17:68">
      <c r="Q89" s="155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</row>
    <row r="90" spans="17:68">
      <c r="Q90" s="155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</row>
    <row r="91" spans="17:68">
      <c r="Q91" s="155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</row>
    <row r="92" spans="17:68">
      <c r="Q92" s="155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  <c r="BP92" s="79"/>
    </row>
    <row r="93" spans="17:68">
      <c r="Q93" s="155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  <c r="BP93" s="79"/>
    </row>
    <row r="94" spans="17:68">
      <c r="Q94" s="155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/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/>
      <c r="BO94" s="79"/>
      <c r="BP94" s="79"/>
    </row>
    <row r="95" spans="17:68">
      <c r="Q95" s="155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</row>
    <row r="96" spans="17:68">
      <c r="Q96" s="155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79"/>
      <c r="BI96" s="79"/>
      <c r="BJ96" s="79"/>
      <c r="BK96" s="79"/>
      <c r="BL96" s="79"/>
      <c r="BM96" s="79"/>
      <c r="BN96" s="79"/>
      <c r="BO96" s="79"/>
      <c r="BP96" s="79"/>
    </row>
    <row r="97" spans="17:68">
      <c r="Q97" s="155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  <c r="BP97" s="79"/>
    </row>
    <row r="98" spans="17:68">
      <c r="Q98" s="155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  <c r="BP98" s="79"/>
    </row>
    <row r="99" spans="17:68">
      <c r="Q99" s="155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79"/>
      <c r="BD99" s="79"/>
      <c r="BE99" s="79"/>
      <c r="BF99" s="79"/>
      <c r="BG99" s="79"/>
      <c r="BH99" s="79"/>
      <c r="BI99" s="79"/>
      <c r="BJ99" s="79"/>
      <c r="BK99" s="79"/>
      <c r="BL99" s="79"/>
      <c r="BM99" s="79"/>
      <c r="BN99" s="79"/>
      <c r="BO99" s="79"/>
      <c r="BP99" s="79"/>
    </row>
    <row r="100" spans="17:68">
      <c r="Q100" s="155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79"/>
      <c r="AV100" s="79"/>
      <c r="AW100" s="79"/>
      <c r="AX100" s="79"/>
      <c r="AY100" s="79"/>
      <c r="AZ100" s="79"/>
      <c r="BA100" s="79"/>
      <c r="BB100" s="79"/>
      <c r="BC100" s="79"/>
      <c r="BD100" s="79"/>
      <c r="BE100" s="79"/>
      <c r="BF100" s="79"/>
      <c r="BG100" s="79"/>
      <c r="BH100" s="79"/>
      <c r="BI100" s="79"/>
      <c r="BJ100" s="79"/>
      <c r="BK100" s="79"/>
      <c r="BL100" s="79"/>
      <c r="BM100" s="79"/>
      <c r="BN100" s="79"/>
      <c r="BO100" s="79"/>
      <c r="BP100" s="79"/>
    </row>
    <row r="101" spans="17:68">
      <c r="Q101" s="155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E101" s="79"/>
      <c r="BF101" s="79"/>
      <c r="BG101" s="79"/>
      <c r="BH101" s="79"/>
      <c r="BI101" s="79"/>
      <c r="BJ101" s="79"/>
      <c r="BK101" s="79"/>
      <c r="BL101" s="79"/>
      <c r="BM101" s="79"/>
      <c r="BN101" s="79"/>
      <c r="BO101" s="79"/>
      <c r="BP101" s="79"/>
    </row>
    <row r="102" spans="17:68">
      <c r="Q102" s="155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</row>
    <row r="103" spans="17:68">
      <c r="Q103" s="155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</row>
    <row r="104" spans="17:68">
      <c r="Q104" s="155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</row>
    <row r="105" spans="17:68">
      <c r="Q105" s="155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79"/>
      <c r="BI105" s="79"/>
      <c r="BJ105" s="79"/>
      <c r="BK105" s="79"/>
      <c r="BL105" s="79"/>
      <c r="BM105" s="79"/>
      <c r="BN105" s="79"/>
      <c r="BO105" s="79"/>
      <c r="BP105" s="79"/>
    </row>
    <row r="106" spans="17:68">
      <c r="Q106" s="155"/>
    </row>
    <row r="107" spans="17:68">
      <c r="Q107" s="155"/>
    </row>
    <row r="108" spans="17:68">
      <c r="Q108" s="155"/>
    </row>
    <row r="109" spans="17:68">
      <c r="Q109" s="155"/>
    </row>
    <row r="110" spans="17:68">
      <c r="Q110" s="155"/>
    </row>
    <row r="111" spans="17:68">
      <c r="Q111" s="155"/>
    </row>
    <row r="112" spans="17:68">
      <c r="Q112" s="155"/>
    </row>
    <row r="113" spans="17:17">
      <c r="Q113" s="155"/>
    </row>
    <row r="114" spans="17:17">
      <c r="Q114" s="155"/>
    </row>
    <row r="115" spans="17:17">
      <c r="Q115" s="155"/>
    </row>
    <row r="116" spans="17:17">
      <c r="Q116" s="155"/>
    </row>
    <row r="117" spans="17:17">
      <c r="Q117" s="155"/>
    </row>
    <row r="118" spans="17:17">
      <c r="Q118" s="155"/>
    </row>
    <row r="119" spans="17:17">
      <c r="Q119" s="155"/>
    </row>
    <row r="120" spans="17:17">
      <c r="Q120" s="155"/>
    </row>
    <row r="121" spans="17:17">
      <c r="Q121" s="155"/>
    </row>
    <row r="122" spans="17:17">
      <c r="Q122" s="155"/>
    </row>
    <row r="123" spans="17:17">
      <c r="Q123" s="155"/>
    </row>
    <row r="124" spans="17:17">
      <c r="Q124" s="155"/>
    </row>
    <row r="125" spans="17:17">
      <c r="Q125" s="155"/>
    </row>
    <row r="126" spans="17:17">
      <c r="Q126" s="155"/>
    </row>
    <row r="127" spans="17:17">
      <c r="Q127" s="155"/>
    </row>
    <row r="128" spans="17:17">
      <c r="Q128" s="155"/>
    </row>
    <row r="129" spans="17:17">
      <c r="Q129" s="155"/>
    </row>
  </sheetData>
  <autoFilter ref="A4:DK14" xr:uid="{00000000-0009-0000-0000-000000000000}">
    <sortState xmlns:xlrd2="http://schemas.microsoft.com/office/spreadsheetml/2017/richdata2" ref="A8:CZ56">
      <sortCondition ref="B6:B56"/>
    </sortState>
  </autoFilter>
  <mergeCells count="4">
    <mergeCell ref="F2:H2"/>
    <mergeCell ref="I2:U2"/>
    <mergeCell ref="I16:I17"/>
    <mergeCell ref="A1:F1"/>
  </mergeCells>
  <conditionalFormatting sqref="W5:BP14">
    <cfRule type="cellIs" dxfId="3" priority="1" operator="greaterThanOrEqual">
      <formula>1650</formula>
    </cfRule>
    <cfRule type="cellIs" dxfId="2" priority="2" operator="greaterThanOrEqual">
      <formula>1100</formula>
    </cfRule>
  </conditionalFormatting>
  <dataValidations count="1">
    <dataValidation type="list" allowBlank="1" showInputMessage="1" showErrorMessage="1" sqref="E5:E14 E18:E1048576" xr:uid="{107D77E1-66E4-4CE0-A807-590D449AD595}">
      <formula1>Groups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F7E0D4-6F7F-46B0-9F8B-62A6621A5686}">
          <x14:formula1>
            <xm:f>'AsPc1 REPEAT Groups'!$C$6:$C$14</xm:f>
          </x14:formula1>
          <xm:sqref>I45:I49 I18:I43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2764-B3B0-46E1-A251-D7B0D7D73CB9}">
  <dimension ref="A1:CY44"/>
  <sheetViews>
    <sheetView showGridLines="0" workbookViewId="0">
      <pane xSplit="5" ySplit="4" topLeftCell="F5" activePane="bottomRight" state="frozen"/>
      <selection activeCell="G21" sqref="G21"/>
      <selection pane="topRight" activeCell="G21" sqref="G21"/>
      <selection pane="bottomLeft" activeCell="G21" sqref="G21"/>
      <selection pane="bottomRight" activeCell="L29" sqref="L29"/>
    </sheetView>
  </sheetViews>
  <sheetFormatPr defaultRowHeight="12.75" outlineLevelCol="1"/>
  <cols>
    <col min="1" max="1" width="9.85546875" style="54" bestFit="1" customWidth="1"/>
    <col min="2" max="2" width="9.140625" style="44"/>
    <col min="3" max="3" width="17.28515625" style="55" hidden="1" customWidth="1" outlineLevel="1"/>
    <col min="4" max="4" width="19" style="44" hidden="1" customWidth="1" outlineLevel="1"/>
    <col min="5" max="5" width="25.7109375" style="53" customWidth="1" collapsed="1"/>
    <col min="6" max="6" width="10.5703125" style="56" customWidth="1"/>
    <col min="7" max="7" width="10.7109375" style="214" customWidth="1"/>
    <col min="8" max="8" width="9.5703125" style="79" hidden="1" customWidth="1" outlineLevel="1"/>
    <col min="9" max="9" width="15.28515625" style="56" customWidth="1" collapsed="1"/>
    <col min="10" max="10" width="11.140625" style="79" hidden="1" customWidth="1" outlineLevel="1"/>
    <col min="11" max="11" width="10.7109375" style="44" customWidth="1" collapsed="1"/>
    <col min="12" max="13" width="8.5703125" style="44" customWidth="1"/>
    <col min="14" max="56" width="8.5703125" style="44" customWidth="1" outlineLevel="1"/>
    <col min="57" max="57" width="6.140625" style="44" bestFit="1" customWidth="1"/>
    <col min="58" max="59" width="8.5703125" style="44" customWidth="1"/>
    <col min="60" max="102" width="8.5703125" style="44" customWidth="1" outlineLevel="1"/>
    <col min="103" max="16384" width="9.140625" style="53"/>
  </cols>
  <sheetData>
    <row r="1" spans="1:103" s="7" customFormat="1" ht="27">
      <c r="A1" s="326" t="s">
        <v>82</v>
      </c>
      <c r="B1" s="326"/>
      <c r="C1" s="326"/>
      <c r="D1" s="326"/>
      <c r="E1" s="326"/>
      <c r="F1" s="326"/>
      <c r="G1" s="208"/>
      <c r="H1" s="215"/>
      <c r="I1" s="10"/>
      <c r="J1" s="215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</row>
    <row r="2" spans="1:103" s="50" customFormat="1" ht="15.75" customHeight="1">
      <c r="A2" s="309" t="s">
        <v>30</v>
      </c>
      <c r="B2" s="266"/>
      <c r="C2" s="267"/>
      <c r="D2" s="266"/>
      <c r="E2" s="16"/>
      <c r="F2" s="250" t="s">
        <v>12</v>
      </c>
      <c r="G2" s="269"/>
      <c r="H2" s="269"/>
      <c r="I2" s="250" t="s">
        <v>0</v>
      </c>
      <c r="J2" s="253"/>
      <c r="K2" s="17"/>
      <c r="L2" s="309" t="s">
        <v>15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70"/>
      <c r="BE2" s="271"/>
      <c r="BF2" s="309" t="s">
        <v>54</v>
      </c>
      <c r="BG2" s="265"/>
      <c r="BH2" s="265"/>
      <c r="BI2" s="265"/>
      <c r="BJ2" s="265"/>
      <c r="BK2" s="265"/>
      <c r="BL2" s="265"/>
      <c r="BM2" s="265"/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70"/>
      <c r="CY2" s="49"/>
    </row>
    <row r="3" spans="1:103" s="64" customFormat="1" ht="15.75">
      <c r="A3" s="310"/>
      <c r="B3" s="311"/>
      <c r="C3" s="312"/>
      <c r="D3" s="311"/>
      <c r="E3" s="62"/>
      <c r="F3" s="247"/>
      <c r="G3" s="313"/>
      <c r="H3" s="313"/>
      <c r="I3" s="228"/>
      <c r="J3" s="278"/>
      <c r="K3" s="190" t="s">
        <v>13</v>
      </c>
      <c r="L3" s="280">
        <v>43012</v>
      </c>
      <c r="M3" s="280">
        <v>43013</v>
      </c>
      <c r="N3" s="280">
        <v>43014</v>
      </c>
      <c r="O3" s="280">
        <v>43017</v>
      </c>
      <c r="P3" s="280">
        <v>43019</v>
      </c>
      <c r="Q3" s="280">
        <v>43021</v>
      </c>
      <c r="R3" s="280">
        <v>43024</v>
      </c>
      <c r="S3" s="280">
        <v>43026</v>
      </c>
      <c r="T3" s="280">
        <v>43028</v>
      </c>
      <c r="U3" s="280">
        <v>43031</v>
      </c>
      <c r="V3" s="280">
        <v>43033</v>
      </c>
      <c r="W3" s="280">
        <v>43035</v>
      </c>
      <c r="X3" s="280">
        <v>43037</v>
      </c>
      <c r="Y3" s="280">
        <v>43039</v>
      </c>
      <c r="Z3" s="280">
        <v>43041</v>
      </c>
      <c r="AA3" s="280">
        <v>43044</v>
      </c>
      <c r="AB3" s="280">
        <v>43047</v>
      </c>
      <c r="AC3" s="280">
        <v>43049</v>
      </c>
      <c r="AD3" s="280">
        <v>43052</v>
      </c>
      <c r="AE3" s="280">
        <v>43055</v>
      </c>
      <c r="AF3" s="280">
        <v>43057</v>
      </c>
      <c r="AG3" s="280">
        <v>43060</v>
      </c>
      <c r="AH3" s="280">
        <v>43063</v>
      </c>
      <c r="AI3" s="280">
        <v>43066</v>
      </c>
      <c r="AJ3" s="280">
        <v>43068</v>
      </c>
      <c r="AK3" s="280">
        <v>43070</v>
      </c>
      <c r="AL3" s="280">
        <v>43074</v>
      </c>
      <c r="AM3" s="280">
        <v>43077</v>
      </c>
      <c r="AN3" s="280">
        <v>43080</v>
      </c>
      <c r="AO3" s="280">
        <v>43084</v>
      </c>
      <c r="AP3" s="280">
        <v>43087</v>
      </c>
      <c r="AQ3" s="280">
        <v>43090</v>
      </c>
      <c r="AR3" s="280">
        <v>43092</v>
      </c>
      <c r="AS3" s="280">
        <v>43098</v>
      </c>
      <c r="AT3" s="280">
        <v>43101</v>
      </c>
      <c r="AU3" s="280">
        <v>43103</v>
      </c>
      <c r="AV3" s="280">
        <v>43106</v>
      </c>
      <c r="AW3" s="280">
        <v>43108</v>
      </c>
      <c r="AX3" s="280">
        <v>43111</v>
      </c>
      <c r="AY3" s="280">
        <v>43114</v>
      </c>
      <c r="AZ3" s="280">
        <v>43116</v>
      </c>
      <c r="BA3" s="280">
        <v>43119</v>
      </c>
      <c r="BB3" s="280">
        <v>43122</v>
      </c>
      <c r="BC3" s="280">
        <v>43126</v>
      </c>
      <c r="BD3" s="280">
        <v>43131</v>
      </c>
      <c r="BE3" s="183"/>
      <c r="BF3" s="280">
        <f t="shared" ref="BF3:CX3" si="0">IF(ISBLANK(L3)=TRUE," ",L3)</f>
        <v>43012</v>
      </c>
      <c r="BG3" s="280">
        <f t="shared" si="0"/>
        <v>43013</v>
      </c>
      <c r="BH3" s="280">
        <f t="shared" si="0"/>
        <v>43014</v>
      </c>
      <c r="BI3" s="280">
        <f t="shared" si="0"/>
        <v>43017</v>
      </c>
      <c r="BJ3" s="280">
        <f t="shared" si="0"/>
        <v>43019</v>
      </c>
      <c r="BK3" s="280">
        <f t="shared" si="0"/>
        <v>43021</v>
      </c>
      <c r="BL3" s="280">
        <f t="shared" si="0"/>
        <v>43024</v>
      </c>
      <c r="BM3" s="280">
        <f t="shared" si="0"/>
        <v>43026</v>
      </c>
      <c r="BN3" s="280">
        <f t="shared" si="0"/>
        <v>43028</v>
      </c>
      <c r="BO3" s="280">
        <f t="shared" si="0"/>
        <v>43031</v>
      </c>
      <c r="BP3" s="280">
        <f t="shared" si="0"/>
        <v>43033</v>
      </c>
      <c r="BQ3" s="280">
        <f t="shared" si="0"/>
        <v>43035</v>
      </c>
      <c r="BR3" s="280">
        <f t="shared" si="0"/>
        <v>43037</v>
      </c>
      <c r="BS3" s="280">
        <f t="shared" si="0"/>
        <v>43039</v>
      </c>
      <c r="BT3" s="280">
        <f t="shared" si="0"/>
        <v>43041</v>
      </c>
      <c r="BU3" s="280">
        <f t="shared" si="0"/>
        <v>43044</v>
      </c>
      <c r="BV3" s="280">
        <f t="shared" si="0"/>
        <v>43047</v>
      </c>
      <c r="BW3" s="280">
        <f t="shared" si="0"/>
        <v>43049</v>
      </c>
      <c r="BX3" s="280">
        <f t="shared" si="0"/>
        <v>43052</v>
      </c>
      <c r="BY3" s="280">
        <f t="shared" si="0"/>
        <v>43055</v>
      </c>
      <c r="BZ3" s="280">
        <f t="shared" si="0"/>
        <v>43057</v>
      </c>
      <c r="CA3" s="280">
        <f t="shared" si="0"/>
        <v>43060</v>
      </c>
      <c r="CB3" s="280">
        <f t="shared" si="0"/>
        <v>43063</v>
      </c>
      <c r="CC3" s="280">
        <f t="shared" si="0"/>
        <v>43066</v>
      </c>
      <c r="CD3" s="280">
        <f t="shared" si="0"/>
        <v>43068</v>
      </c>
      <c r="CE3" s="280">
        <f t="shared" si="0"/>
        <v>43070</v>
      </c>
      <c r="CF3" s="280">
        <f t="shared" si="0"/>
        <v>43074</v>
      </c>
      <c r="CG3" s="280">
        <f t="shared" si="0"/>
        <v>43077</v>
      </c>
      <c r="CH3" s="280">
        <f t="shared" si="0"/>
        <v>43080</v>
      </c>
      <c r="CI3" s="280">
        <f t="shared" si="0"/>
        <v>43084</v>
      </c>
      <c r="CJ3" s="280">
        <f t="shared" si="0"/>
        <v>43087</v>
      </c>
      <c r="CK3" s="280">
        <f t="shared" si="0"/>
        <v>43090</v>
      </c>
      <c r="CL3" s="280">
        <f t="shared" si="0"/>
        <v>43092</v>
      </c>
      <c r="CM3" s="280">
        <f t="shared" si="0"/>
        <v>43098</v>
      </c>
      <c r="CN3" s="280">
        <f t="shared" si="0"/>
        <v>43101</v>
      </c>
      <c r="CO3" s="280">
        <f t="shared" si="0"/>
        <v>43103</v>
      </c>
      <c r="CP3" s="280">
        <f t="shared" si="0"/>
        <v>43106</v>
      </c>
      <c r="CQ3" s="280">
        <f t="shared" si="0"/>
        <v>43108</v>
      </c>
      <c r="CR3" s="280">
        <f t="shared" si="0"/>
        <v>43111</v>
      </c>
      <c r="CS3" s="280">
        <f t="shared" si="0"/>
        <v>43114</v>
      </c>
      <c r="CT3" s="280">
        <f t="shared" si="0"/>
        <v>43116</v>
      </c>
      <c r="CU3" s="280">
        <f t="shared" si="0"/>
        <v>43119</v>
      </c>
      <c r="CV3" s="280">
        <f t="shared" si="0"/>
        <v>43122</v>
      </c>
      <c r="CW3" s="280">
        <f t="shared" si="0"/>
        <v>43126</v>
      </c>
      <c r="CX3" s="280">
        <f t="shared" si="0"/>
        <v>43131</v>
      </c>
      <c r="CY3" s="63"/>
    </row>
    <row r="4" spans="1:103" s="52" customFormat="1" ht="15.75" customHeight="1">
      <c r="A4" s="314" t="s">
        <v>5</v>
      </c>
      <c r="B4" s="176" t="s">
        <v>6</v>
      </c>
      <c r="C4" s="283" t="s">
        <v>7</v>
      </c>
      <c r="D4" s="314" t="s">
        <v>14</v>
      </c>
      <c r="E4" s="21" t="s">
        <v>10</v>
      </c>
      <c r="F4" s="224" t="s">
        <v>1</v>
      </c>
      <c r="G4" s="315" t="s">
        <v>69</v>
      </c>
      <c r="H4" s="316" t="s">
        <v>2</v>
      </c>
      <c r="I4" s="22" t="s">
        <v>1</v>
      </c>
      <c r="J4" s="316" t="s">
        <v>2</v>
      </c>
      <c r="K4" s="202" t="s">
        <v>8</v>
      </c>
      <c r="L4" s="288">
        <f>IF(ISBLANK(L3)=TRUE,"",L3-$I$5)</f>
        <v>0</v>
      </c>
      <c r="M4" s="288">
        <f t="shared" ref="M4:BD4" si="1">IF(ISBLANK(M3)=TRUE,"",M3-$I$5)</f>
        <v>1</v>
      </c>
      <c r="N4" s="288">
        <f t="shared" si="1"/>
        <v>2</v>
      </c>
      <c r="O4" s="288">
        <f t="shared" si="1"/>
        <v>5</v>
      </c>
      <c r="P4" s="288">
        <f t="shared" si="1"/>
        <v>7</v>
      </c>
      <c r="Q4" s="288">
        <f t="shared" si="1"/>
        <v>9</v>
      </c>
      <c r="R4" s="288">
        <f t="shared" si="1"/>
        <v>12</v>
      </c>
      <c r="S4" s="288">
        <f t="shared" si="1"/>
        <v>14</v>
      </c>
      <c r="T4" s="288">
        <f t="shared" si="1"/>
        <v>16</v>
      </c>
      <c r="U4" s="288">
        <f t="shared" si="1"/>
        <v>19</v>
      </c>
      <c r="V4" s="288">
        <f t="shared" si="1"/>
        <v>21</v>
      </c>
      <c r="W4" s="288">
        <f t="shared" si="1"/>
        <v>23</v>
      </c>
      <c r="X4" s="288">
        <f t="shared" si="1"/>
        <v>25</v>
      </c>
      <c r="Y4" s="288">
        <f t="shared" si="1"/>
        <v>27</v>
      </c>
      <c r="Z4" s="288">
        <f t="shared" si="1"/>
        <v>29</v>
      </c>
      <c r="AA4" s="288">
        <f t="shared" si="1"/>
        <v>32</v>
      </c>
      <c r="AB4" s="288">
        <f t="shared" si="1"/>
        <v>35</v>
      </c>
      <c r="AC4" s="288">
        <f t="shared" si="1"/>
        <v>37</v>
      </c>
      <c r="AD4" s="288">
        <f t="shared" si="1"/>
        <v>40</v>
      </c>
      <c r="AE4" s="288">
        <f t="shared" si="1"/>
        <v>43</v>
      </c>
      <c r="AF4" s="288">
        <f t="shared" si="1"/>
        <v>45</v>
      </c>
      <c r="AG4" s="288">
        <f t="shared" si="1"/>
        <v>48</v>
      </c>
      <c r="AH4" s="288">
        <f t="shared" si="1"/>
        <v>51</v>
      </c>
      <c r="AI4" s="288">
        <f t="shared" si="1"/>
        <v>54</v>
      </c>
      <c r="AJ4" s="288">
        <f t="shared" si="1"/>
        <v>56</v>
      </c>
      <c r="AK4" s="288">
        <f t="shared" si="1"/>
        <v>58</v>
      </c>
      <c r="AL4" s="288">
        <f t="shared" si="1"/>
        <v>62</v>
      </c>
      <c r="AM4" s="288">
        <f t="shared" si="1"/>
        <v>65</v>
      </c>
      <c r="AN4" s="288">
        <f t="shared" si="1"/>
        <v>68</v>
      </c>
      <c r="AO4" s="288">
        <f t="shared" si="1"/>
        <v>72</v>
      </c>
      <c r="AP4" s="288">
        <f t="shared" si="1"/>
        <v>75</v>
      </c>
      <c r="AQ4" s="288">
        <f t="shared" si="1"/>
        <v>78</v>
      </c>
      <c r="AR4" s="288">
        <f t="shared" si="1"/>
        <v>80</v>
      </c>
      <c r="AS4" s="288">
        <f t="shared" si="1"/>
        <v>86</v>
      </c>
      <c r="AT4" s="288">
        <f t="shared" si="1"/>
        <v>89</v>
      </c>
      <c r="AU4" s="288">
        <f t="shared" si="1"/>
        <v>91</v>
      </c>
      <c r="AV4" s="288">
        <f t="shared" si="1"/>
        <v>94</v>
      </c>
      <c r="AW4" s="288">
        <f t="shared" si="1"/>
        <v>96</v>
      </c>
      <c r="AX4" s="288">
        <f t="shared" si="1"/>
        <v>99</v>
      </c>
      <c r="AY4" s="288">
        <f t="shared" si="1"/>
        <v>102</v>
      </c>
      <c r="AZ4" s="288">
        <f t="shared" si="1"/>
        <v>104</v>
      </c>
      <c r="BA4" s="288">
        <f t="shared" si="1"/>
        <v>107</v>
      </c>
      <c r="BB4" s="288">
        <f t="shared" si="1"/>
        <v>110</v>
      </c>
      <c r="BC4" s="288">
        <f t="shared" si="1"/>
        <v>114</v>
      </c>
      <c r="BD4" s="288">
        <f t="shared" si="1"/>
        <v>119</v>
      </c>
      <c r="BE4" s="24" t="s">
        <v>8</v>
      </c>
      <c r="BF4" s="317">
        <f t="shared" ref="BF4:CX4" si="2">IF(ISBLANK(L4)=TRUE,"",L4)</f>
        <v>0</v>
      </c>
      <c r="BG4" s="317">
        <f t="shared" si="2"/>
        <v>1</v>
      </c>
      <c r="BH4" s="317">
        <f t="shared" si="2"/>
        <v>2</v>
      </c>
      <c r="BI4" s="317">
        <f t="shared" si="2"/>
        <v>5</v>
      </c>
      <c r="BJ4" s="317">
        <f t="shared" si="2"/>
        <v>7</v>
      </c>
      <c r="BK4" s="317">
        <f t="shared" si="2"/>
        <v>9</v>
      </c>
      <c r="BL4" s="317">
        <f t="shared" si="2"/>
        <v>12</v>
      </c>
      <c r="BM4" s="317">
        <f t="shared" si="2"/>
        <v>14</v>
      </c>
      <c r="BN4" s="317">
        <f t="shared" si="2"/>
        <v>16</v>
      </c>
      <c r="BO4" s="317">
        <f t="shared" si="2"/>
        <v>19</v>
      </c>
      <c r="BP4" s="317">
        <f t="shared" si="2"/>
        <v>21</v>
      </c>
      <c r="BQ4" s="317">
        <f t="shared" si="2"/>
        <v>23</v>
      </c>
      <c r="BR4" s="317">
        <f t="shared" si="2"/>
        <v>25</v>
      </c>
      <c r="BS4" s="317">
        <f t="shared" si="2"/>
        <v>27</v>
      </c>
      <c r="BT4" s="317">
        <f t="shared" si="2"/>
        <v>29</v>
      </c>
      <c r="BU4" s="317">
        <f t="shared" si="2"/>
        <v>32</v>
      </c>
      <c r="BV4" s="317">
        <f t="shared" si="2"/>
        <v>35</v>
      </c>
      <c r="BW4" s="317">
        <f t="shared" si="2"/>
        <v>37</v>
      </c>
      <c r="BX4" s="317">
        <f t="shared" si="2"/>
        <v>40</v>
      </c>
      <c r="BY4" s="317">
        <f t="shared" si="2"/>
        <v>43</v>
      </c>
      <c r="BZ4" s="317">
        <f t="shared" si="2"/>
        <v>45</v>
      </c>
      <c r="CA4" s="317">
        <f t="shared" si="2"/>
        <v>48</v>
      </c>
      <c r="CB4" s="317">
        <f t="shared" si="2"/>
        <v>51</v>
      </c>
      <c r="CC4" s="317">
        <f t="shared" si="2"/>
        <v>54</v>
      </c>
      <c r="CD4" s="317">
        <f t="shared" si="2"/>
        <v>56</v>
      </c>
      <c r="CE4" s="317">
        <f t="shared" si="2"/>
        <v>58</v>
      </c>
      <c r="CF4" s="317">
        <f t="shared" si="2"/>
        <v>62</v>
      </c>
      <c r="CG4" s="317">
        <f t="shared" si="2"/>
        <v>65</v>
      </c>
      <c r="CH4" s="317">
        <f t="shared" si="2"/>
        <v>68</v>
      </c>
      <c r="CI4" s="317">
        <f t="shared" si="2"/>
        <v>72</v>
      </c>
      <c r="CJ4" s="317">
        <f t="shared" si="2"/>
        <v>75</v>
      </c>
      <c r="CK4" s="317">
        <f t="shared" si="2"/>
        <v>78</v>
      </c>
      <c r="CL4" s="317">
        <f t="shared" si="2"/>
        <v>80</v>
      </c>
      <c r="CM4" s="317">
        <f t="shared" si="2"/>
        <v>86</v>
      </c>
      <c r="CN4" s="317">
        <f t="shared" si="2"/>
        <v>89</v>
      </c>
      <c r="CO4" s="317">
        <f t="shared" si="2"/>
        <v>91</v>
      </c>
      <c r="CP4" s="317">
        <f t="shared" si="2"/>
        <v>94</v>
      </c>
      <c r="CQ4" s="317">
        <f t="shared" si="2"/>
        <v>96</v>
      </c>
      <c r="CR4" s="317">
        <f t="shared" si="2"/>
        <v>99</v>
      </c>
      <c r="CS4" s="317">
        <f t="shared" si="2"/>
        <v>102</v>
      </c>
      <c r="CT4" s="317">
        <f t="shared" si="2"/>
        <v>104</v>
      </c>
      <c r="CU4" s="317">
        <f t="shared" si="2"/>
        <v>107</v>
      </c>
      <c r="CV4" s="317">
        <f t="shared" si="2"/>
        <v>110</v>
      </c>
      <c r="CW4" s="317">
        <f t="shared" si="2"/>
        <v>114</v>
      </c>
      <c r="CX4" s="317">
        <f t="shared" si="2"/>
        <v>119</v>
      </c>
      <c r="CY4" s="51"/>
    </row>
    <row r="5" spans="1:103">
      <c r="A5" s="25">
        <v>1093342</v>
      </c>
      <c r="B5" s="26">
        <v>11</v>
      </c>
      <c r="C5" s="27"/>
      <c r="D5" s="25"/>
      <c r="E5" s="289" t="s">
        <v>63</v>
      </c>
      <c r="F5" s="29">
        <v>43003</v>
      </c>
      <c r="G5" s="210" t="s">
        <v>67</v>
      </c>
      <c r="H5" s="78"/>
      <c r="I5" s="29">
        <v>43012</v>
      </c>
      <c r="J5" s="30">
        <v>29.3</v>
      </c>
      <c r="K5" s="32"/>
      <c r="L5" s="78">
        <v>29.3</v>
      </c>
      <c r="M5" s="78">
        <v>27.8</v>
      </c>
      <c r="N5" s="78">
        <v>28.4</v>
      </c>
      <c r="O5" s="78">
        <v>28.2</v>
      </c>
      <c r="P5" s="78">
        <v>28.6</v>
      </c>
      <c r="Q5" s="78">
        <v>26.9</v>
      </c>
      <c r="R5" s="78">
        <v>28.1</v>
      </c>
      <c r="S5" s="78">
        <v>28.9</v>
      </c>
      <c r="T5" s="78">
        <v>27.3</v>
      </c>
      <c r="U5" s="78">
        <v>28.7</v>
      </c>
      <c r="V5" s="78">
        <v>28.9</v>
      </c>
      <c r="W5" s="78">
        <v>27.8</v>
      </c>
      <c r="X5" s="78">
        <v>28</v>
      </c>
      <c r="Y5" s="78">
        <v>28.6</v>
      </c>
      <c r="Z5" s="78">
        <v>27.7</v>
      </c>
      <c r="AA5" s="78">
        <v>27.1</v>
      </c>
      <c r="AB5" s="78">
        <v>28</v>
      </c>
      <c r="AC5" s="78">
        <v>27.7</v>
      </c>
      <c r="AD5" s="78">
        <v>27.9</v>
      </c>
      <c r="AE5" s="78">
        <v>28.4</v>
      </c>
      <c r="AF5" s="78">
        <v>28.2</v>
      </c>
      <c r="AG5" s="78">
        <v>27.7</v>
      </c>
      <c r="AH5" s="78">
        <v>28.9</v>
      </c>
      <c r="AI5" s="78">
        <v>28.6</v>
      </c>
      <c r="AJ5" s="78">
        <v>28.6</v>
      </c>
      <c r="AK5" s="78">
        <v>28.3</v>
      </c>
      <c r="AL5" s="78">
        <v>28.7</v>
      </c>
      <c r="AM5" s="78">
        <v>28.1</v>
      </c>
      <c r="AN5" s="78">
        <v>28.4</v>
      </c>
      <c r="AO5" s="78">
        <v>28.5</v>
      </c>
      <c r="AP5" s="78">
        <v>28.5</v>
      </c>
      <c r="AQ5" s="78">
        <v>29.5</v>
      </c>
      <c r="AR5" s="78">
        <v>29.9</v>
      </c>
      <c r="AS5" s="78">
        <v>29.5</v>
      </c>
      <c r="AT5" s="78">
        <v>30</v>
      </c>
      <c r="AU5" s="78">
        <v>29.6</v>
      </c>
      <c r="AV5" s="78">
        <v>29.4</v>
      </c>
      <c r="AW5" s="78">
        <v>29.8</v>
      </c>
      <c r="AX5" s="78">
        <v>31.1</v>
      </c>
      <c r="AY5" s="78">
        <v>30.8</v>
      </c>
      <c r="AZ5" s="78">
        <v>30.7</v>
      </c>
      <c r="BA5" s="78">
        <v>30.9</v>
      </c>
      <c r="BB5" s="78">
        <v>31.8</v>
      </c>
      <c r="BC5" s="78">
        <v>30.8</v>
      </c>
      <c r="BD5" s="78">
        <v>30.6</v>
      </c>
      <c r="BE5" s="33"/>
      <c r="BF5" s="73">
        <f t="shared" ref="BF5:BU14" si="3">IF(OR(ISERROR(L5/$J5)=TRUE,ISBLANK(L5)=TRUE),"",L5/$J5)</f>
        <v>1</v>
      </c>
      <c r="BG5" s="73">
        <f t="shared" si="3"/>
        <v>0.94880546075085326</v>
      </c>
      <c r="BH5" s="73">
        <f t="shared" si="3"/>
        <v>0.96928327645051182</v>
      </c>
      <c r="BI5" s="73">
        <f t="shared" si="3"/>
        <v>0.96245733788395904</v>
      </c>
      <c r="BJ5" s="73">
        <f t="shared" si="3"/>
        <v>0.97610921501706482</v>
      </c>
      <c r="BK5" s="73">
        <f t="shared" si="3"/>
        <v>0.91808873720136508</v>
      </c>
      <c r="BL5" s="73">
        <f t="shared" si="3"/>
        <v>0.95904436860068265</v>
      </c>
      <c r="BM5" s="73">
        <f t="shared" si="3"/>
        <v>0.98634812286689411</v>
      </c>
      <c r="BN5" s="73">
        <f t="shared" si="3"/>
        <v>0.93174061433447097</v>
      </c>
      <c r="BO5" s="73">
        <f t="shared" si="3"/>
        <v>0.97952218430034121</v>
      </c>
      <c r="BP5" s="73">
        <f t="shared" si="3"/>
        <v>0.98634812286689411</v>
      </c>
      <c r="BQ5" s="73">
        <f t="shared" si="3"/>
        <v>0.94880546075085326</v>
      </c>
      <c r="BR5" s="73">
        <f t="shared" si="3"/>
        <v>0.95563139931740615</v>
      </c>
      <c r="BS5" s="73">
        <f t="shared" si="3"/>
        <v>0.97610921501706482</v>
      </c>
      <c r="BT5" s="73">
        <f t="shared" si="3"/>
        <v>0.94539249146757676</v>
      </c>
      <c r="BU5" s="73">
        <f t="shared" si="3"/>
        <v>0.92491467576791808</v>
      </c>
      <c r="BV5" s="73">
        <f t="shared" ref="BV5:CK14" si="4">IF(OR(ISERROR(AB5/$J5)=TRUE,ISBLANK(AB5)=TRUE),"",AB5/$J5)</f>
        <v>0.95563139931740615</v>
      </c>
      <c r="BW5" s="73">
        <f t="shared" si="4"/>
        <v>0.94539249146757676</v>
      </c>
      <c r="BX5" s="73">
        <f t="shared" si="4"/>
        <v>0.95221843003412965</v>
      </c>
      <c r="BY5" s="73">
        <f t="shared" si="4"/>
        <v>0.96928327645051182</v>
      </c>
      <c r="BZ5" s="73">
        <f t="shared" si="4"/>
        <v>0.96245733788395904</v>
      </c>
      <c r="CA5" s="73">
        <f t="shared" si="4"/>
        <v>0.94539249146757676</v>
      </c>
      <c r="CB5" s="73">
        <f t="shared" si="4"/>
        <v>0.98634812286689411</v>
      </c>
      <c r="CC5" s="73">
        <f t="shared" si="4"/>
        <v>0.97610921501706482</v>
      </c>
      <c r="CD5" s="73">
        <f t="shared" si="4"/>
        <v>0.97610921501706482</v>
      </c>
      <c r="CE5" s="73">
        <f t="shared" si="4"/>
        <v>0.96587030716723554</v>
      </c>
      <c r="CF5" s="73">
        <f t="shared" si="4"/>
        <v>0.97952218430034121</v>
      </c>
      <c r="CG5" s="73">
        <f t="shared" si="4"/>
        <v>0.95904436860068265</v>
      </c>
      <c r="CH5" s="73">
        <f t="shared" si="4"/>
        <v>0.96928327645051182</v>
      </c>
      <c r="CI5" s="73">
        <f t="shared" si="4"/>
        <v>0.97269624573378832</v>
      </c>
      <c r="CJ5" s="73">
        <f t="shared" si="4"/>
        <v>0.97269624573378832</v>
      </c>
      <c r="CK5" s="73">
        <f t="shared" si="4"/>
        <v>1.0068259385665528</v>
      </c>
      <c r="CL5" s="73">
        <f t="shared" ref="CL5:CX14" si="5">IF(OR(ISERROR(AR5/$J5)=TRUE,ISBLANK(AR5)=TRUE),"",AR5/$J5)</f>
        <v>1.0204778156996586</v>
      </c>
      <c r="CM5" s="73">
        <f t="shared" si="5"/>
        <v>1.0068259385665528</v>
      </c>
      <c r="CN5" s="73">
        <f t="shared" si="5"/>
        <v>1.0238907849829351</v>
      </c>
      <c r="CO5" s="73">
        <f t="shared" si="5"/>
        <v>1.0102389078498293</v>
      </c>
      <c r="CP5" s="73">
        <f t="shared" si="5"/>
        <v>1.0034129692832763</v>
      </c>
      <c r="CQ5" s="73">
        <f t="shared" si="5"/>
        <v>1.0170648464163823</v>
      </c>
      <c r="CR5" s="73">
        <f t="shared" si="5"/>
        <v>1.0614334470989761</v>
      </c>
      <c r="CS5" s="73">
        <f t="shared" si="5"/>
        <v>1.0511945392491469</v>
      </c>
      <c r="CT5" s="73">
        <f t="shared" si="5"/>
        <v>1.0477815699658704</v>
      </c>
      <c r="CU5" s="73">
        <f t="shared" si="5"/>
        <v>1.0546075085324231</v>
      </c>
      <c r="CV5" s="73">
        <f t="shared" si="5"/>
        <v>1.0853242320819112</v>
      </c>
      <c r="CW5" s="73">
        <f t="shared" si="5"/>
        <v>1.0511945392491469</v>
      </c>
      <c r="CX5" s="73">
        <f t="shared" si="5"/>
        <v>1.0443686006825939</v>
      </c>
      <c r="CY5" s="3"/>
    </row>
    <row r="6" spans="1:103">
      <c r="A6" s="25">
        <v>1093342</v>
      </c>
      <c r="B6" s="1">
        <v>12</v>
      </c>
      <c r="C6" s="27"/>
      <c r="D6" s="25"/>
      <c r="E6" s="289" t="s">
        <v>63</v>
      </c>
      <c r="F6" s="29">
        <v>43003</v>
      </c>
      <c r="G6" s="210" t="s">
        <v>67</v>
      </c>
      <c r="H6" s="83"/>
      <c r="I6" s="29">
        <v>43012</v>
      </c>
      <c r="J6" s="35">
        <v>29.2</v>
      </c>
      <c r="K6" s="36"/>
      <c r="L6" s="78">
        <v>29.2</v>
      </c>
      <c r="M6" s="83">
        <v>27.9</v>
      </c>
      <c r="N6" s="83">
        <v>28.7</v>
      </c>
      <c r="O6" s="83">
        <v>27.6</v>
      </c>
      <c r="P6" s="83">
        <v>27.6</v>
      </c>
      <c r="Q6" s="83">
        <v>26.7</v>
      </c>
      <c r="R6" s="83">
        <v>27.5</v>
      </c>
      <c r="S6" s="83">
        <v>27.3</v>
      </c>
      <c r="T6" s="83">
        <v>26.9</v>
      </c>
      <c r="U6" s="83">
        <v>28.3</v>
      </c>
      <c r="V6" s="83">
        <v>28</v>
      </c>
      <c r="W6" s="83">
        <v>27.1</v>
      </c>
      <c r="X6" s="83">
        <v>27.5</v>
      </c>
      <c r="Y6" s="83">
        <v>28</v>
      </c>
      <c r="Z6" s="83">
        <v>27.3</v>
      </c>
      <c r="AA6" s="83">
        <v>26.7</v>
      </c>
      <c r="AB6" s="83">
        <v>27.3</v>
      </c>
      <c r="AC6" s="83">
        <v>26.8</v>
      </c>
      <c r="AD6" s="83">
        <v>26.7</v>
      </c>
      <c r="AE6" s="83">
        <v>28</v>
      </c>
      <c r="AF6" s="83">
        <v>26.7</v>
      </c>
      <c r="AG6" s="83">
        <v>26.1</v>
      </c>
      <c r="AH6" s="83">
        <v>27.7</v>
      </c>
      <c r="AI6" s="83">
        <v>27.1</v>
      </c>
      <c r="AJ6" s="83">
        <v>27.9</v>
      </c>
      <c r="AK6" s="83">
        <v>27.5</v>
      </c>
      <c r="AL6" s="83">
        <v>28</v>
      </c>
      <c r="AM6" s="83">
        <v>27.7</v>
      </c>
      <c r="AN6" s="83">
        <v>27.4</v>
      </c>
      <c r="AO6" s="83">
        <v>27.5</v>
      </c>
      <c r="AP6" s="83">
        <v>27.6</v>
      </c>
      <c r="AQ6" s="83">
        <v>28</v>
      </c>
      <c r="AR6" s="83">
        <v>28.7</v>
      </c>
      <c r="AS6" s="83">
        <v>29.1</v>
      </c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2"/>
      <c r="BF6" s="73">
        <f t="shared" si="3"/>
        <v>1</v>
      </c>
      <c r="BG6" s="73">
        <f t="shared" si="3"/>
        <v>0.95547945205479445</v>
      </c>
      <c r="BH6" s="73">
        <f t="shared" si="3"/>
        <v>0.98287671232876717</v>
      </c>
      <c r="BI6" s="73">
        <f t="shared" si="3"/>
        <v>0.94520547945205491</v>
      </c>
      <c r="BJ6" s="73">
        <f t="shared" si="3"/>
        <v>0.94520547945205491</v>
      </c>
      <c r="BK6" s="73">
        <f t="shared" si="3"/>
        <v>0.91438356164383561</v>
      </c>
      <c r="BL6" s="73">
        <f t="shared" si="3"/>
        <v>0.94178082191780821</v>
      </c>
      <c r="BM6" s="73">
        <f t="shared" si="3"/>
        <v>0.93493150684931514</v>
      </c>
      <c r="BN6" s="73">
        <f t="shared" si="3"/>
        <v>0.92123287671232879</v>
      </c>
      <c r="BO6" s="73">
        <f t="shared" si="3"/>
        <v>0.96917808219178092</v>
      </c>
      <c r="BP6" s="73">
        <f t="shared" si="3"/>
        <v>0.95890410958904115</v>
      </c>
      <c r="BQ6" s="73">
        <f t="shared" si="3"/>
        <v>0.92808219178082196</v>
      </c>
      <c r="BR6" s="73">
        <f t="shared" si="3"/>
        <v>0.94178082191780821</v>
      </c>
      <c r="BS6" s="73">
        <f t="shared" si="3"/>
        <v>0.95890410958904115</v>
      </c>
      <c r="BT6" s="73">
        <f t="shared" si="3"/>
        <v>0.93493150684931514</v>
      </c>
      <c r="BU6" s="73">
        <f t="shared" si="3"/>
        <v>0.91438356164383561</v>
      </c>
      <c r="BV6" s="73">
        <f t="shared" si="4"/>
        <v>0.93493150684931514</v>
      </c>
      <c r="BW6" s="73">
        <f t="shared" si="4"/>
        <v>0.9178082191780822</v>
      </c>
      <c r="BX6" s="73">
        <f t="shared" si="4"/>
        <v>0.91438356164383561</v>
      </c>
      <c r="BY6" s="73">
        <f t="shared" si="4"/>
        <v>0.95890410958904115</v>
      </c>
      <c r="BZ6" s="73">
        <f t="shared" si="4"/>
        <v>0.91438356164383561</v>
      </c>
      <c r="CA6" s="73">
        <f t="shared" si="4"/>
        <v>0.89383561643835618</v>
      </c>
      <c r="CB6" s="73">
        <f t="shared" si="4"/>
        <v>0.94863013698630139</v>
      </c>
      <c r="CC6" s="73">
        <f t="shared" si="4"/>
        <v>0.92808219178082196</v>
      </c>
      <c r="CD6" s="73">
        <f t="shared" si="4"/>
        <v>0.95547945205479445</v>
      </c>
      <c r="CE6" s="73">
        <f t="shared" si="4"/>
        <v>0.94178082191780821</v>
      </c>
      <c r="CF6" s="73">
        <f t="shared" si="4"/>
        <v>0.95890410958904115</v>
      </c>
      <c r="CG6" s="73">
        <f t="shared" si="4"/>
        <v>0.94863013698630139</v>
      </c>
      <c r="CH6" s="73">
        <f t="shared" si="4"/>
        <v>0.93835616438356162</v>
      </c>
      <c r="CI6" s="73">
        <f t="shared" si="4"/>
        <v>0.94178082191780821</v>
      </c>
      <c r="CJ6" s="73">
        <f t="shared" si="4"/>
        <v>0.94520547945205491</v>
      </c>
      <c r="CK6" s="73">
        <f t="shared" si="4"/>
        <v>0.95890410958904115</v>
      </c>
      <c r="CL6" s="73">
        <f t="shared" si="5"/>
        <v>0.98287671232876717</v>
      </c>
      <c r="CM6" s="73">
        <f t="shared" si="5"/>
        <v>0.99657534246575352</v>
      </c>
      <c r="CN6" s="73" t="str">
        <f t="shared" si="5"/>
        <v/>
      </c>
      <c r="CO6" s="73" t="str">
        <f t="shared" si="5"/>
        <v/>
      </c>
      <c r="CP6" s="73" t="str">
        <f t="shared" si="5"/>
        <v/>
      </c>
      <c r="CQ6" s="73" t="str">
        <f t="shared" si="5"/>
        <v/>
      </c>
      <c r="CR6" s="73" t="str">
        <f t="shared" si="5"/>
        <v/>
      </c>
      <c r="CS6" s="73" t="str">
        <f t="shared" si="5"/>
        <v/>
      </c>
      <c r="CT6" s="73" t="str">
        <f t="shared" si="5"/>
        <v/>
      </c>
      <c r="CU6" s="73" t="str">
        <f t="shared" si="5"/>
        <v/>
      </c>
      <c r="CV6" s="73" t="str">
        <f t="shared" si="5"/>
        <v/>
      </c>
      <c r="CW6" s="73" t="str">
        <f t="shared" si="5"/>
        <v/>
      </c>
      <c r="CX6" s="73" t="str">
        <f t="shared" si="5"/>
        <v/>
      </c>
      <c r="CY6" s="3"/>
    </row>
    <row r="7" spans="1:103">
      <c r="A7" s="25">
        <v>1093342</v>
      </c>
      <c r="B7" s="1">
        <v>13</v>
      </c>
      <c r="C7" s="27"/>
      <c r="D7" s="25"/>
      <c r="E7" s="289" t="s">
        <v>63</v>
      </c>
      <c r="F7" s="29">
        <v>43003</v>
      </c>
      <c r="G7" s="210" t="s">
        <v>67</v>
      </c>
      <c r="H7" s="83"/>
      <c r="I7" s="29">
        <v>43012</v>
      </c>
      <c r="J7" s="35">
        <v>26.5</v>
      </c>
      <c r="K7" s="36"/>
      <c r="L7" s="78">
        <v>26.5</v>
      </c>
      <c r="M7" s="83">
        <v>25.9</v>
      </c>
      <c r="N7" s="83">
        <v>26.1</v>
      </c>
      <c r="O7" s="83">
        <v>25.9</v>
      </c>
      <c r="P7" s="83">
        <v>25.7</v>
      </c>
      <c r="Q7" s="83">
        <v>24.8</v>
      </c>
      <c r="R7" s="83">
        <v>25.7</v>
      </c>
      <c r="S7" s="83">
        <v>25.9</v>
      </c>
      <c r="T7" s="83">
        <v>25.2</v>
      </c>
      <c r="U7" s="83">
        <v>26.5</v>
      </c>
      <c r="V7" s="83">
        <v>25.8</v>
      </c>
      <c r="W7" s="83">
        <v>25.4</v>
      </c>
      <c r="X7" s="83">
        <v>25.6</v>
      </c>
      <c r="Y7" s="83">
        <v>25.3</v>
      </c>
      <c r="Z7" s="83">
        <v>25.2</v>
      </c>
      <c r="AA7" s="83">
        <v>24.8</v>
      </c>
      <c r="AB7" s="83">
        <v>25.1</v>
      </c>
      <c r="AC7" s="83">
        <v>24.3</v>
      </c>
      <c r="AD7" s="83">
        <v>24.6</v>
      </c>
      <c r="AE7" s="83">
        <v>25.8</v>
      </c>
      <c r="AF7" s="83">
        <v>25.7</v>
      </c>
      <c r="AG7" s="83">
        <v>26.2</v>
      </c>
      <c r="AH7" s="83">
        <v>26.9</v>
      </c>
      <c r="AI7" s="83">
        <v>26.5</v>
      </c>
      <c r="AJ7" s="83">
        <v>26.8</v>
      </c>
      <c r="AK7" s="83">
        <v>26</v>
      </c>
      <c r="AL7" s="83">
        <v>26.4</v>
      </c>
      <c r="AM7" s="83">
        <v>25.9</v>
      </c>
      <c r="AN7" s="83">
        <v>26</v>
      </c>
      <c r="AO7" s="83">
        <v>26.9</v>
      </c>
      <c r="AP7" s="83">
        <v>26.7</v>
      </c>
      <c r="AQ7" s="83">
        <v>27.5</v>
      </c>
      <c r="AR7" s="83">
        <v>28.2</v>
      </c>
      <c r="AS7" s="83">
        <v>27.1</v>
      </c>
      <c r="AT7" s="83">
        <v>26.7</v>
      </c>
      <c r="AU7" s="83">
        <v>24.8</v>
      </c>
      <c r="AV7" s="83">
        <v>23.7</v>
      </c>
      <c r="AW7" s="83">
        <v>23.2</v>
      </c>
      <c r="AX7" s="83">
        <v>23.5</v>
      </c>
      <c r="AY7" s="83"/>
      <c r="AZ7" s="83"/>
      <c r="BA7" s="83"/>
      <c r="BB7" s="83"/>
      <c r="BC7" s="83"/>
      <c r="BD7" s="83"/>
      <c r="BE7" s="2"/>
      <c r="BF7" s="73">
        <f t="shared" si="3"/>
        <v>1</v>
      </c>
      <c r="BG7" s="73">
        <f t="shared" si="3"/>
        <v>0.97735849056603763</v>
      </c>
      <c r="BH7" s="73">
        <f t="shared" si="3"/>
        <v>0.98490566037735849</v>
      </c>
      <c r="BI7" s="73">
        <f t="shared" si="3"/>
        <v>0.97735849056603763</v>
      </c>
      <c r="BJ7" s="73">
        <f t="shared" si="3"/>
        <v>0.96981132075471699</v>
      </c>
      <c r="BK7" s="73">
        <f t="shared" si="3"/>
        <v>0.9358490566037736</v>
      </c>
      <c r="BL7" s="73">
        <f t="shared" si="3"/>
        <v>0.96981132075471699</v>
      </c>
      <c r="BM7" s="73">
        <f t="shared" si="3"/>
        <v>0.97735849056603763</v>
      </c>
      <c r="BN7" s="73">
        <f t="shared" si="3"/>
        <v>0.95094339622641511</v>
      </c>
      <c r="BO7" s="73">
        <f t="shared" si="3"/>
        <v>1</v>
      </c>
      <c r="BP7" s="73">
        <f t="shared" si="3"/>
        <v>0.97358490566037736</v>
      </c>
      <c r="BQ7" s="73">
        <f t="shared" si="3"/>
        <v>0.95849056603773575</v>
      </c>
      <c r="BR7" s="73">
        <f t="shared" si="3"/>
        <v>0.96603773584905661</v>
      </c>
      <c r="BS7" s="73">
        <f t="shared" si="3"/>
        <v>0.95471698113207548</v>
      </c>
      <c r="BT7" s="73">
        <f t="shared" si="3"/>
        <v>0.95094339622641511</v>
      </c>
      <c r="BU7" s="73">
        <f t="shared" si="3"/>
        <v>0.9358490566037736</v>
      </c>
      <c r="BV7" s="73">
        <f t="shared" si="4"/>
        <v>0.94716981132075473</v>
      </c>
      <c r="BW7" s="73">
        <f t="shared" si="4"/>
        <v>0.91698113207547172</v>
      </c>
      <c r="BX7" s="73">
        <f t="shared" si="4"/>
        <v>0.92830188679245285</v>
      </c>
      <c r="BY7" s="73">
        <f t="shared" si="4"/>
        <v>0.97358490566037736</v>
      </c>
      <c r="BZ7" s="73">
        <f t="shared" si="4"/>
        <v>0.96981132075471699</v>
      </c>
      <c r="CA7" s="73">
        <f t="shared" si="4"/>
        <v>0.98867924528301887</v>
      </c>
      <c r="CB7" s="73">
        <f t="shared" si="4"/>
        <v>1.0150943396226415</v>
      </c>
      <c r="CC7" s="73">
        <f t="shared" si="4"/>
        <v>1</v>
      </c>
      <c r="CD7" s="73">
        <f t="shared" si="4"/>
        <v>1.0113207547169811</v>
      </c>
      <c r="CE7" s="73">
        <f t="shared" si="4"/>
        <v>0.98113207547169812</v>
      </c>
      <c r="CF7" s="73">
        <f t="shared" si="4"/>
        <v>0.99622641509433962</v>
      </c>
      <c r="CG7" s="73">
        <f t="shared" si="4"/>
        <v>0.97735849056603763</v>
      </c>
      <c r="CH7" s="73">
        <f t="shared" si="4"/>
        <v>0.98113207547169812</v>
      </c>
      <c r="CI7" s="73">
        <f t="shared" si="4"/>
        <v>1.0150943396226415</v>
      </c>
      <c r="CJ7" s="73">
        <f t="shared" si="4"/>
        <v>1.0075471698113208</v>
      </c>
      <c r="CK7" s="73">
        <f t="shared" si="4"/>
        <v>1.0377358490566038</v>
      </c>
      <c r="CL7" s="73">
        <f t="shared" si="5"/>
        <v>1.0641509433962264</v>
      </c>
      <c r="CM7" s="73">
        <f t="shared" si="5"/>
        <v>1.0226415094339623</v>
      </c>
      <c r="CN7" s="73">
        <f t="shared" si="5"/>
        <v>1.0075471698113208</v>
      </c>
      <c r="CO7" s="73">
        <f t="shared" si="5"/>
        <v>0.9358490566037736</v>
      </c>
      <c r="CP7" s="73">
        <f t="shared" si="5"/>
        <v>0.89433962264150946</v>
      </c>
      <c r="CQ7" s="73">
        <f t="shared" si="5"/>
        <v>0.87547169811320757</v>
      </c>
      <c r="CR7" s="73">
        <f t="shared" si="5"/>
        <v>0.8867924528301887</v>
      </c>
      <c r="CS7" s="73" t="str">
        <f t="shared" si="5"/>
        <v/>
      </c>
      <c r="CT7" s="73" t="str">
        <f t="shared" si="5"/>
        <v/>
      </c>
      <c r="CU7" s="73" t="str">
        <f t="shared" si="5"/>
        <v/>
      </c>
      <c r="CV7" s="73" t="str">
        <f t="shared" si="5"/>
        <v/>
      </c>
      <c r="CW7" s="73" t="str">
        <f t="shared" si="5"/>
        <v/>
      </c>
      <c r="CX7" s="73" t="str">
        <f t="shared" si="5"/>
        <v/>
      </c>
      <c r="CY7" s="3"/>
    </row>
    <row r="8" spans="1:103">
      <c r="A8" s="25">
        <v>1093342</v>
      </c>
      <c r="B8" s="1">
        <v>14</v>
      </c>
      <c r="C8" s="27"/>
      <c r="D8" s="25"/>
      <c r="E8" s="289" t="s">
        <v>63</v>
      </c>
      <c r="F8" s="29">
        <v>43003</v>
      </c>
      <c r="G8" s="210" t="s">
        <v>67</v>
      </c>
      <c r="H8" s="83"/>
      <c r="I8" s="29">
        <v>43012</v>
      </c>
      <c r="J8" s="35">
        <v>28.3</v>
      </c>
      <c r="K8" s="36"/>
      <c r="L8" s="78">
        <v>28.3</v>
      </c>
      <c r="M8" s="83">
        <v>26.8</v>
      </c>
      <c r="N8" s="83">
        <v>27.3</v>
      </c>
      <c r="O8" s="83">
        <v>26.8</v>
      </c>
      <c r="P8" s="83">
        <v>27.1</v>
      </c>
      <c r="Q8" s="83">
        <v>25.9</v>
      </c>
      <c r="R8" s="83">
        <v>26.6</v>
      </c>
      <c r="S8" s="83">
        <v>27.3</v>
      </c>
      <c r="T8" s="83">
        <v>27</v>
      </c>
      <c r="U8" s="83">
        <v>27.8</v>
      </c>
      <c r="V8" s="83">
        <v>27.5</v>
      </c>
      <c r="W8" s="83">
        <v>27</v>
      </c>
      <c r="X8" s="83">
        <v>26.8</v>
      </c>
      <c r="Y8" s="83">
        <v>27.1</v>
      </c>
      <c r="Z8" s="83">
        <v>26.8</v>
      </c>
      <c r="AA8" s="83">
        <v>26</v>
      </c>
      <c r="AB8" s="83">
        <v>26.9</v>
      </c>
      <c r="AC8" s="83">
        <v>26.6</v>
      </c>
      <c r="AD8" s="83">
        <v>27.4</v>
      </c>
      <c r="AE8" s="83">
        <v>27.8</v>
      </c>
      <c r="AF8" s="83">
        <v>27.7</v>
      </c>
      <c r="AG8" s="83">
        <v>26.9</v>
      </c>
      <c r="AH8" s="83">
        <v>28.3</v>
      </c>
      <c r="AI8" s="83">
        <v>27.6</v>
      </c>
      <c r="AJ8" s="83">
        <v>27.5</v>
      </c>
      <c r="AK8" s="83">
        <v>27.2</v>
      </c>
      <c r="AL8" s="83">
        <v>27.9</v>
      </c>
      <c r="AM8" s="83">
        <v>27.5</v>
      </c>
      <c r="AN8" s="83">
        <v>27.8</v>
      </c>
      <c r="AO8" s="83">
        <v>27.7</v>
      </c>
      <c r="AP8" s="83">
        <v>27.6</v>
      </c>
      <c r="AQ8" s="83">
        <v>28.4</v>
      </c>
      <c r="AR8" s="83">
        <v>28.9</v>
      </c>
      <c r="AS8" s="83">
        <v>28.3</v>
      </c>
      <c r="AT8" s="83">
        <v>29.4</v>
      </c>
      <c r="AU8" s="83">
        <v>28.6</v>
      </c>
      <c r="AV8" s="83">
        <v>28.3</v>
      </c>
      <c r="AW8" s="83">
        <v>28.8</v>
      </c>
      <c r="AX8" s="83">
        <v>29.3</v>
      </c>
      <c r="AY8" s="83">
        <v>29.5</v>
      </c>
      <c r="AZ8" s="83">
        <v>28.7</v>
      </c>
      <c r="BA8" s="83">
        <v>29.3</v>
      </c>
      <c r="BB8" s="83">
        <v>30</v>
      </c>
      <c r="BC8" s="83">
        <v>29.1</v>
      </c>
      <c r="BD8" s="83">
        <v>28.5</v>
      </c>
      <c r="BE8" s="2"/>
      <c r="BF8" s="73">
        <f t="shared" si="3"/>
        <v>1</v>
      </c>
      <c r="BG8" s="73">
        <f t="shared" si="3"/>
        <v>0.94699646643109536</v>
      </c>
      <c r="BH8" s="73">
        <f t="shared" si="3"/>
        <v>0.96466431095406358</v>
      </c>
      <c r="BI8" s="73">
        <f t="shared" si="3"/>
        <v>0.94699646643109536</v>
      </c>
      <c r="BJ8" s="73">
        <f t="shared" si="3"/>
        <v>0.95759717314487636</v>
      </c>
      <c r="BK8" s="73">
        <f t="shared" si="3"/>
        <v>0.9151943462897526</v>
      </c>
      <c r="BL8" s="73">
        <f t="shared" si="3"/>
        <v>0.93992932862190814</v>
      </c>
      <c r="BM8" s="73">
        <f t="shared" si="3"/>
        <v>0.96466431095406358</v>
      </c>
      <c r="BN8" s="73">
        <f t="shared" si="3"/>
        <v>0.95406360424028269</v>
      </c>
      <c r="BO8" s="73">
        <f t="shared" si="3"/>
        <v>0.98233215547703179</v>
      </c>
      <c r="BP8" s="73">
        <f t="shared" si="3"/>
        <v>0.9717314487632509</v>
      </c>
      <c r="BQ8" s="73">
        <f t="shared" si="3"/>
        <v>0.95406360424028269</v>
      </c>
      <c r="BR8" s="73">
        <f t="shared" si="3"/>
        <v>0.94699646643109536</v>
      </c>
      <c r="BS8" s="73">
        <f t="shared" si="3"/>
        <v>0.95759717314487636</v>
      </c>
      <c r="BT8" s="73">
        <f t="shared" si="3"/>
        <v>0.94699646643109536</v>
      </c>
      <c r="BU8" s="73">
        <f t="shared" si="3"/>
        <v>0.91872791519434627</v>
      </c>
      <c r="BV8" s="73">
        <f t="shared" si="4"/>
        <v>0.95053003533568892</v>
      </c>
      <c r="BW8" s="73">
        <f t="shared" si="4"/>
        <v>0.93992932862190814</v>
      </c>
      <c r="BX8" s="73">
        <f t="shared" si="4"/>
        <v>0.96819787985865713</v>
      </c>
      <c r="BY8" s="73">
        <f t="shared" si="4"/>
        <v>0.98233215547703179</v>
      </c>
      <c r="BZ8" s="73">
        <f t="shared" si="4"/>
        <v>0.97879858657243812</v>
      </c>
      <c r="CA8" s="73">
        <f t="shared" si="4"/>
        <v>0.95053003533568892</v>
      </c>
      <c r="CB8" s="73">
        <f t="shared" si="4"/>
        <v>1</v>
      </c>
      <c r="CC8" s="73">
        <f t="shared" si="4"/>
        <v>0.97526501766784457</v>
      </c>
      <c r="CD8" s="73">
        <f t="shared" si="4"/>
        <v>0.9717314487632509</v>
      </c>
      <c r="CE8" s="73">
        <f t="shared" si="4"/>
        <v>0.96113074204946991</v>
      </c>
      <c r="CF8" s="73">
        <f t="shared" si="4"/>
        <v>0.98586572438162534</v>
      </c>
      <c r="CG8" s="73">
        <f t="shared" si="4"/>
        <v>0.9717314487632509</v>
      </c>
      <c r="CH8" s="73">
        <f t="shared" si="4"/>
        <v>0.98233215547703179</v>
      </c>
      <c r="CI8" s="73">
        <f t="shared" si="4"/>
        <v>0.97879858657243812</v>
      </c>
      <c r="CJ8" s="73">
        <f t="shared" si="4"/>
        <v>0.97526501766784457</v>
      </c>
      <c r="CK8" s="73">
        <f t="shared" si="4"/>
        <v>1.0035335689045937</v>
      </c>
      <c r="CL8" s="73">
        <f t="shared" si="5"/>
        <v>1.0212014134275618</v>
      </c>
      <c r="CM8" s="73">
        <f t="shared" si="5"/>
        <v>1</v>
      </c>
      <c r="CN8" s="73">
        <f t="shared" si="5"/>
        <v>1.0388692579505299</v>
      </c>
      <c r="CO8" s="73">
        <f t="shared" si="5"/>
        <v>1.010600706713781</v>
      </c>
      <c r="CP8" s="73">
        <f t="shared" si="5"/>
        <v>1</v>
      </c>
      <c r="CQ8" s="73">
        <f t="shared" si="5"/>
        <v>1.0176678445229681</v>
      </c>
      <c r="CR8" s="73">
        <f t="shared" si="5"/>
        <v>1.0353356890459364</v>
      </c>
      <c r="CS8" s="73">
        <f t="shared" si="5"/>
        <v>1.0424028268551238</v>
      </c>
      <c r="CT8" s="73">
        <f t="shared" si="5"/>
        <v>1.0141342756183744</v>
      </c>
      <c r="CU8" s="73">
        <f t="shared" si="5"/>
        <v>1.0353356890459364</v>
      </c>
      <c r="CV8" s="73">
        <f t="shared" si="5"/>
        <v>1.0600706713780919</v>
      </c>
      <c r="CW8" s="73">
        <f t="shared" si="5"/>
        <v>1.0282685512367491</v>
      </c>
      <c r="CX8" s="73">
        <f t="shared" si="5"/>
        <v>1.0070671378091873</v>
      </c>
      <c r="CY8" s="3"/>
    </row>
    <row r="9" spans="1:103">
      <c r="A9" s="25">
        <v>1093342</v>
      </c>
      <c r="B9" s="1">
        <v>15</v>
      </c>
      <c r="C9" s="27"/>
      <c r="D9" s="25"/>
      <c r="E9" s="289" t="s">
        <v>63</v>
      </c>
      <c r="F9" s="29">
        <v>43003</v>
      </c>
      <c r="G9" s="210" t="s">
        <v>67</v>
      </c>
      <c r="H9" s="83"/>
      <c r="I9" s="29">
        <v>43012</v>
      </c>
      <c r="J9" s="35">
        <v>30.8</v>
      </c>
      <c r="K9" s="36"/>
      <c r="L9" s="78">
        <v>30.8</v>
      </c>
      <c r="M9" s="83">
        <v>29.7</v>
      </c>
      <c r="N9" s="83">
        <v>28.8</v>
      </c>
      <c r="O9" s="83">
        <v>28.6</v>
      </c>
      <c r="P9" s="83">
        <v>28.7</v>
      </c>
      <c r="Q9" s="83">
        <v>27.3</v>
      </c>
      <c r="R9" s="83">
        <v>28.6</v>
      </c>
      <c r="S9" s="83">
        <v>29.2</v>
      </c>
      <c r="T9" s="83">
        <v>28.4</v>
      </c>
      <c r="U9" s="83">
        <v>29.8</v>
      </c>
      <c r="V9" s="83">
        <v>28.7</v>
      </c>
      <c r="W9" s="83">
        <v>27.6</v>
      </c>
      <c r="X9" s="83">
        <v>27.9</v>
      </c>
      <c r="Y9" s="83">
        <v>28.6</v>
      </c>
      <c r="Z9" s="83">
        <v>28.1</v>
      </c>
      <c r="AA9" s="83">
        <v>27.6</v>
      </c>
      <c r="AB9" s="83">
        <v>28.3</v>
      </c>
      <c r="AC9" s="83">
        <v>27.8</v>
      </c>
      <c r="AD9" s="83">
        <v>28.8</v>
      </c>
      <c r="AE9" s="83">
        <v>29.3</v>
      </c>
      <c r="AF9" s="83">
        <v>29.7</v>
      </c>
      <c r="AG9" s="83">
        <v>28.8</v>
      </c>
      <c r="AH9" s="83">
        <v>29.5</v>
      </c>
      <c r="AI9" s="83">
        <v>28.9</v>
      </c>
      <c r="AJ9" s="83">
        <v>29.2</v>
      </c>
      <c r="AK9" s="83">
        <v>29</v>
      </c>
      <c r="AL9" s="83">
        <v>29.9</v>
      </c>
      <c r="AM9" s="83">
        <v>30</v>
      </c>
      <c r="AN9" s="83">
        <v>29.6</v>
      </c>
      <c r="AO9" s="83">
        <v>29.5</v>
      </c>
      <c r="AP9" s="83">
        <v>29.4</v>
      </c>
      <c r="AQ9" s="83">
        <v>31</v>
      </c>
      <c r="AR9" s="83">
        <v>30.8</v>
      </c>
      <c r="AS9" s="83">
        <v>31</v>
      </c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2"/>
      <c r="BF9" s="73">
        <f t="shared" si="3"/>
        <v>1</v>
      </c>
      <c r="BG9" s="73">
        <f t="shared" si="3"/>
        <v>0.96428571428571419</v>
      </c>
      <c r="BH9" s="73">
        <f t="shared" si="3"/>
        <v>0.93506493506493504</v>
      </c>
      <c r="BI9" s="73">
        <f t="shared" si="3"/>
        <v>0.9285714285714286</v>
      </c>
      <c r="BJ9" s="73">
        <f t="shared" si="3"/>
        <v>0.93181818181818177</v>
      </c>
      <c r="BK9" s="73">
        <f t="shared" si="3"/>
        <v>0.88636363636363635</v>
      </c>
      <c r="BL9" s="73">
        <f t="shared" si="3"/>
        <v>0.9285714285714286</v>
      </c>
      <c r="BM9" s="73">
        <f t="shared" si="3"/>
        <v>0.94805194805194803</v>
      </c>
      <c r="BN9" s="73">
        <f t="shared" si="3"/>
        <v>0.92207792207792205</v>
      </c>
      <c r="BO9" s="73">
        <f t="shared" si="3"/>
        <v>0.96753246753246758</v>
      </c>
      <c r="BP9" s="73">
        <f t="shared" si="3"/>
        <v>0.93181818181818177</v>
      </c>
      <c r="BQ9" s="73">
        <f t="shared" si="3"/>
        <v>0.89610389610389618</v>
      </c>
      <c r="BR9" s="73">
        <f t="shared" si="3"/>
        <v>0.90584415584415579</v>
      </c>
      <c r="BS9" s="73">
        <f t="shared" si="3"/>
        <v>0.9285714285714286</v>
      </c>
      <c r="BT9" s="73">
        <f t="shared" si="3"/>
        <v>0.91233766233766234</v>
      </c>
      <c r="BU9" s="73">
        <f t="shared" si="3"/>
        <v>0.89610389610389618</v>
      </c>
      <c r="BV9" s="73">
        <f t="shared" si="4"/>
        <v>0.91883116883116889</v>
      </c>
      <c r="BW9" s="73">
        <f t="shared" si="4"/>
        <v>0.90259740259740262</v>
      </c>
      <c r="BX9" s="73">
        <f t="shared" si="4"/>
        <v>0.93506493506493504</v>
      </c>
      <c r="BY9" s="73">
        <f t="shared" si="4"/>
        <v>0.95129870129870131</v>
      </c>
      <c r="BZ9" s="73">
        <f t="shared" si="4"/>
        <v>0.96428571428571419</v>
      </c>
      <c r="CA9" s="73">
        <f t="shared" si="4"/>
        <v>0.93506493506493504</v>
      </c>
      <c r="CB9" s="73">
        <f t="shared" si="4"/>
        <v>0.95779220779220775</v>
      </c>
      <c r="CC9" s="73">
        <f t="shared" si="4"/>
        <v>0.93831168831168821</v>
      </c>
      <c r="CD9" s="73">
        <f t="shared" si="4"/>
        <v>0.94805194805194803</v>
      </c>
      <c r="CE9" s="73">
        <f t="shared" si="4"/>
        <v>0.94155844155844148</v>
      </c>
      <c r="CF9" s="73">
        <f t="shared" si="4"/>
        <v>0.97077922077922074</v>
      </c>
      <c r="CG9" s="73">
        <f t="shared" si="4"/>
        <v>0.97402597402597402</v>
      </c>
      <c r="CH9" s="73">
        <f t="shared" si="4"/>
        <v>0.96103896103896103</v>
      </c>
      <c r="CI9" s="73">
        <f t="shared" si="4"/>
        <v>0.95779220779220775</v>
      </c>
      <c r="CJ9" s="73">
        <f t="shared" si="4"/>
        <v>0.95454545454545447</v>
      </c>
      <c r="CK9" s="73">
        <f t="shared" si="4"/>
        <v>1.0064935064935066</v>
      </c>
      <c r="CL9" s="73">
        <f t="shared" si="5"/>
        <v>1</v>
      </c>
      <c r="CM9" s="73">
        <f t="shared" si="5"/>
        <v>1.0064935064935066</v>
      </c>
      <c r="CN9" s="73" t="str">
        <f t="shared" si="5"/>
        <v/>
      </c>
      <c r="CO9" s="73" t="str">
        <f t="shared" si="5"/>
        <v/>
      </c>
      <c r="CP9" s="73" t="str">
        <f t="shared" si="5"/>
        <v/>
      </c>
      <c r="CQ9" s="73" t="str">
        <f t="shared" si="5"/>
        <v/>
      </c>
      <c r="CR9" s="73" t="str">
        <f t="shared" si="5"/>
        <v/>
      </c>
      <c r="CS9" s="73" t="str">
        <f t="shared" si="5"/>
        <v/>
      </c>
      <c r="CT9" s="73" t="str">
        <f t="shared" si="5"/>
        <v/>
      </c>
      <c r="CU9" s="73" t="str">
        <f t="shared" si="5"/>
        <v/>
      </c>
      <c r="CV9" s="73" t="str">
        <f t="shared" si="5"/>
        <v/>
      </c>
      <c r="CW9" s="73" t="str">
        <f t="shared" si="5"/>
        <v/>
      </c>
      <c r="CX9" s="73" t="str">
        <f t="shared" si="5"/>
        <v/>
      </c>
      <c r="CY9" s="3"/>
    </row>
    <row r="10" spans="1:103">
      <c r="A10" s="37">
        <v>1093343</v>
      </c>
      <c r="B10" s="1">
        <v>21</v>
      </c>
      <c r="C10" s="27"/>
      <c r="D10" s="25"/>
      <c r="E10" s="289" t="s">
        <v>62</v>
      </c>
      <c r="F10" s="29">
        <v>43003</v>
      </c>
      <c r="G10" s="210" t="s">
        <v>67</v>
      </c>
      <c r="H10" s="83"/>
      <c r="I10" s="29">
        <v>43012</v>
      </c>
      <c r="J10" s="35">
        <v>26.7</v>
      </c>
      <c r="K10" s="36"/>
      <c r="L10" s="78">
        <v>26.7</v>
      </c>
      <c r="M10" s="83">
        <v>26.7</v>
      </c>
      <c r="N10" s="83">
        <v>27</v>
      </c>
      <c r="O10" s="83">
        <v>27.1</v>
      </c>
      <c r="P10" s="83">
        <v>27.1</v>
      </c>
      <c r="Q10" s="83">
        <v>26.6</v>
      </c>
      <c r="R10" s="83">
        <v>27.1</v>
      </c>
      <c r="S10" s="83">
        <v>28.3</v>
      </c>
      <c r="T10" s="83">
        <v>27.2</v>
      </c>
      <c r="U10" s="83">
        <v>27.6</v>
      </c>
      <c r="V10" s="83">
        <v>27.3</v>
      </c>
      <c r="W10" s="83">
        <v>25.9</v>
      </c>
      <c r="X10" s="83">
        <v>26.3</v>
      </c>
      <c r="Y10" s="83">
        <v>26.8</v>
      </c>
      <c r="Z10" s="83">
        <v>26.7</v>
      </c>
      <c r="AA10" s="83">
        <v>26</v>
      </c>
      <c r="AB10" s="83">
        <v>26.9</v>
      </c>
      <c r="AC10" s="83">
        <v>26.3</v>
      </c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2"/>
      <c r="BF10" s="73">
        <f t="shared" si="3"/>
        <v>1</v>
      </c>
      <c r="BG10" s="73">
        <f t="shared" si="3"/>
        <v>1</v>
      </c>
      <c r="BH10" s="73">
        <f t="shared" si="3"/>
        <v>1.0112359550561798</v>
      </c>
      <c r="BI10" s="73">
        <f t="shared" si="3"/>
        <v>1.0149812734082397</v>
      </c>
      <c r="BJ10" s="73">
        <f t="shared" si="3"/>
        <v>1.0149812734082397</v>
      </c>
      <c r="BK10" s="73">
        <f t="shared" si="3"/>
        <v>0.99625468164794018</v>
      </c>
      <c r="BL10" s="73">
        <f t="shared" si="3"/>
        <v>1.0149812734082397</v>
      </c>
      <c r="BM10" s="73">
        <f t="shared" si="3"/>
        <v>1.0599250936329589</v>
      </c>
      <c r="BN10" s="73">
        <f t="shared" si="3"/>
        <v>1.0187265917602997</v>
      </c>
      <c r="BO10" s="73">
        <f t="shared" si="3"/>
        <v>1.0337078651685394</v>
      </c>
      <c r="BP10" s="73">
        <f t="shared" si="3"/>
        <v>1.0224719101123596</v>
      </c>
      <c r="BQ10" s="73">
        <f t="shared" si="3"/>
        <v>0.97003745318352053</v>
      </c>
      <c r="BR10" s="73">
        <f t="shared" si="3"/>
        <v>0.98501872659176037</v>
      </c>
      <c r="BS10" s="73">
        <f t="shared" si="3"/>
        <v>1.0037453183520599</v>
      </c>
      <c r="BT10" s="73">
        <f t="shared" si="3"/>
        <v>1</v>
      </c>
      <c r="BU10" s="73">
        <f t="shared" si="3"/>
        <v>0.97378277153558057</v>
      </c>
      <c r="BV10" s="73">
        <f t="shared" si="4"/>
        <v>1.0074906367041199</v>
      </c>
      <c r="BW10" s="73">
        <f t="shared" si="4"/>
        <v>0.98501872659176037</v>
      </c>
      <c r="BX10" s="73" t="str">
        <f t="shared" si="4"/>
        <v/>
      </c>
      <c r="BY10" s="73" t="str">
        <f t="shared" si="4"/>
        <v/>
      </c>
      <c r="BZ10" s="73" t="str">
        <f t="shared" si="4"/>
        <v/>
      </c>
      <c r="CA10" s="73" t="str">
        <f t="shared" si="4"/>
        <v/>
      </c>
      <c r="CB10" s="73" t="str">
        <f t="shared" si="4"/>
        <v/>
      </c>
      <c r="CC10" s="73" t="str">
        <f t="shared" si="4"/>
        <v/>
      </c>
      <c r="CD10" s="73" t="str">
        <f t="shared" si="4"/>
        <v/>
      </c>
      <c r="CE10" s="73" t="str">
        <f t="shared" si="4"/>
        <v/>
      </c>
      <c r="CF10" s="73" t="str">
        <f t="shared" si="4"/>
        <v/>
      </c>
      <c r="CG10" s="73" t="str">
        <f t="shared" si="4"/>
        <v/>
      </c>
      <c r="CH10" s="73" t="str">
        <f t="shared" si="4"/>
        <v/>
      </c>
      <c r="CI10" s="73" t="str">
        <f t="shared" si="4"/>
        <v/>
      </c>
      <c r="CJ10" s="73" t="str">
        <f t="shared" si="4"/>
        <v/>
      </c>
      <c r="CK10" s="73" t="str">
        <f t="shared" si="4"/>
        <v/>
      </c>
      <c r="CL10" s="73" t="str">
        <f t="shared" si="5"/>
        <v/>
      </c>
      <c r="CM10" s="73" t="str">
        <f t="shared" si="5"/>
        <v/>
      </c>
      <c r="CN10" s="73" t="str">
        <f t="shared" si="5"/>
        <v/>
      </c>
      <c r="CO10" s="73" t="str">
        <f t="shared" si="5"/>
        <v/>
      </c>
      <c r="CP10" s="73" t="str">
        <f t="shared" si="5"/>
        <v/>
      </c>
      <c r="CQ10" s="73" t="str">
        <f t="shared" si="5"/>
        <v/>
      </c>
      <c r="CR10" s="73" t="str">
        <f t="shared" si="5"/>
        <v/>
      </c>
      <c r="CS10" s="73" t="str">
        <f t="shared" si="5"/>
        <v/>
      </c>
      <c r="CT10" s="73" t="str">
        <f t="shared" si="5"/>
        <v/>
      </c>
      <c r="CU10" s="73" t="str">
        <f t="shared" si="5"/>
        <v/>
      </c>
      <c r="CV10" s="73" t="str">
        <f t="shared" si="5"/>
        <v/>
      </c>
      <c r="CW10" s="73" t="str">
        <f t="shared" si="5"/>
        <v/>
      </c>
      <c r="CX10" s="73" t="str">
        <f t="shared" si="5"/>
        <v/>
      </c>
      <c r="CY10" s="3"/>
    </row>
    <row r="11" spans="1:103">
      <c r="A11" s="37">
        <v>1093343</v>
      </c>
      <c r="B11" s="1">
        <v>22</v>
      </c>
      <c r="C11" s="27"/>
      <c r="D11" s="25"/>
      <c r="E11" s="289" t="s">
        <v>63</v>
      </c>
      <c r="F11" s="29">
        <v>43003</v>
      </c>
      <c r="G11" s="210" t="s">
        <v>67</v>
      </c>
      <c r="H11" s="83"/>
      <c r="I11" s="29">
        <v>43012</v>
      </c>
      <c r="J11" s="35">
        <v>32.1</v>
      </c>
      <c r="K11" s="36"/>
      <c r="L11" s="78">
        <v>32.1</v>
      </c>
      <c r="M11" s="83">
        <v>30.2</v>
      </c>
      <c r="N11" s="83">
        <v>31.1</v>
      </c>
      <c r="O11" s="83">
        <v>31.2</v>
      </c>
      <c r="P11" s="83">
        <v>31.5</v>
      </c>
      <c r="Q11" s="83">
        <v>31</v>
      </c>
      <c r="R11" s="83">
        <v>31</v>
      </c>
      <c r="S11" s="83">
        <v>31.6</v>
      </c>
      <c r="T11" s="83">
        <v>31.5</v>
      </c>
      <c r="U11" s="83">
        <v>32</v>
      </c>
      <c r="V11" s="83">
        <v>31.7</v>
      </c>
      <c r="W11" s="83">
        <v>30.7</v>
      </c>
      <c r="X11" s="83">
        <v>31.4</v>
      </c>
      <c r="Y11" s="83">
        <v>31.6</v>
      </c>
      <c r="Z11" s="83">
        <v>31.6</v>
      </c>
      <c r="AA11" s="83">
        <v>31.3</v>
      </c>
      <c r="AB11" s="83">
        <v>32</v>
      </c>
      <c r="AC11" s="83">
        <v>31.5</v>
      </c>
      <c r="AD11" s="83">
        <v>31.4</v>
      </c>
      <c r="AE11" s="83">
        <v>32.5</v>
      </c>
      <c r="AF11" s="83">
        <v>32.299999999999997</v>
      </c>
      <c r="AG11" s="83">
        <v>31.9</v>
      </c>
      <c r="AH11" s="83">
        <v>32.799999999999997</v>
      </c>
      <c r="AI11" s="83">
        <v>33</v>
      </c>
      <c r="AJ11" s="83">
        <v>33.700000000000003</v>
      </c>
      <c r="AK11" s="83">
        <v>33.700000000000003</v>
      </c>
      <c r="AL11" s="83">
        <v>33.4</v>
      </c>
      <c r="AM11" s="83">
        <v>33.799999999999997</v>
      </c>
      <c r="AN11" s="83">
        <v>33.4</v>
      </c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2"/>
      <c r="BF11" s="73">
        <f t="shared" si="3"/>
        <v>1</v>
      </c>
      <c r="BG11" s="73">
        <f t="shared" si="3"/>
        <v>0.94080996884735191</v>
      </c>
      <c r="BH11" s="73">
        <f t="shared" si="3"/>
        <v>0.96884735202492211</v>
      </c>
      <c r="BI11" s="73">
        <f t="shared" si="3"/>
        <v>0.97196261682242979</v>
      </c>
      <c r="BJ11" s="73">
        <f t="shared" si="3"/>
        <v>0.98130841121495327</v>
      </c>
      <c r="BK11" s="73">
        <f t="shared" si="3"/>
        <v>0.96573208722741433</v>
      </c>
      <c r="BL11" s="73">
        <f t="shared" si="3"/>
        <v>0.96573208722741433</v>
      </c>
      <c r="BM11" s="73">
        <f t="shared" si="3"/>
        <v>0.98442367601246106</v>
      </c>
      <c r="BN11" s="73">
        <f t="shared" si="3"/>
        <v>0.98130841121495327</v>
      </c>
      <c r="BO11" s="73">
        <f t="shared" si="3"/>
        <v>0.99688473520249221</v>
      </c>
      <c r="BP11" s="73">
        <f t="shared" si="3"/>
        <v>0.98753894080996873</v>
      </c>
      <c r="BQ11" s="73">
        <f t="shared" si="3"/>
        <v>0.95638629283489085</v>
      </c>
      <c r="BR11" s="73">
        <f t="shared" si="3"/>
        <v>0.97819314641744537</v>
      </c>
      <c r="BS11" s="73">
        <f t="shared" si="3"/>
        <v>0.98442367601246106</v>
      </c>
      <c r="BT11" s="73">
        <f t="shared" si="3"/>
        <v>0.98442367601246106</v>
      </c>
      <c r="BU11" s="73">
        <f t="shared" si="3"/>
        <v>0.97507788161993769</v>
      </c>
      <c r="BV11" s="73">
        <f t="shared" si="4"/>
        <v>0.99688473520249221</v>
      </c>
      <c r="BW11" s="73">
        <f t="shared" si="4"/>
        <v>0.98130841121495327</v>
      </c>
      <c r="BX11" s="73">
        <f t="shared" si="4"/>
        <v>0.97819314641744537</v>
      </c>
      <c r="BY11" s="73">
        <f t="shared" si="4"/>
        <v>1.0124610591900312</v>
      </c>
      <c r="BZ11" s="73">
        <f t="shared" si="4"/>
        <v>1.0062305295950154</v>
      </c>
      <c r="CA11" s="73">
        <f t="shared" si="4"/>
        <v>0.99376947040498431</v>
      </c>
      <c r="CB11" s="73">
        <f t="shared" si="4"/>
        <v>1.0218068535825544</v>
      </c>
      <c r="CC11" s="73">
        <f t="shared" si="4"/>
        <v>1.02803738317757</v>
      </c>
      <c r="CD11" s="73">
        <f t="shared" si="4"/>
        <v>1.0498442367601246</v>
      </c>
      <c r="CE11" s="73">
        <f t="shared" si="4"/>
        <v>1.0498442367601246</v>
      </c>
      <c r="CF11" s="73">
        <f t="shared" si="4"/>
        <v>1.0404984423676011</v>
      </c>
      <c r="CG11" s="73">
        <f t="shared" si="4"/>
        <v>1.0529595015576323</v>
      </c>
      <c r="CH11" s="73">
        <f t="shared" si="4"/>
        <v>1.0404984423676011</v>
      </c>
      <c r="CI11" s="73" t="str">
        <f t="shared" si="4"/>
        <v/>
      </c>
      <c r="CJ11" s="73" t="str">
        <f t="shared" si="4"/>
        <v/>
      </c>
      <c r="CK11" s="73" t="str">
        <f t="shared" si="4"/>
        <v/>
      </c>
      <c r="CL11" s="73" t="str">
        <f t="shared" si="5"/>
        <v/>
      </c>
      <c r="CM11" s="73" t="str">
        <f t="shared" si="5"/>
        <v/>
      </c>
      <c r="CN11" s="73" t="str">
        <f t="shared" si="5"/>
        <v/>
      </c>
      <c r="CO11" s="73" t="str">
        <f t="shared" si="5"/>
        <v/>
      </c>
      <c r="CP11" s="73" t="str">
        <f t="shared" si="5"/>
        <v/>
      </c>
      <c r="CQ11" s="73" t="str">
        <f t="shared" si="5"/>
        <v/>
      </c>
      <c r="CR11" s="73" t="str">
        <f t="shared" si="5"/>
        <v/>
      </c>
      <c r="CS11" s="73" t="str">
        <f t="shared" si="5"/>
        <v/>
      </c>
      <c r="CT11" s="73" t="str">
        <f t="shared" si="5"/>
        <v/>
      </c>
      <c r="CU11" s="73" t="str">
        <f t="shared" si="5"/>
        <v/>
      </c>
      <c r="CV11" s="73" t="str">
        <f t="shared" si="5"/>
        <v/>
      </c>
      <c r="CW11" s="73" t="str">
        <f t="shared" si="5"/>
        <v/>
      </c>
      <c r="CX11" s="73" t="str">
        <f t="shared" si="5"/>
        <v/>
      </c>
      <c r="CY11" s="3"/>
    </row>
    <row r="12" spans="1:103">
      <c r="A12" s="37">
        <v>1093343</v>
      </c>
      <c r="B12" s="1">
        <v>23</v>
      </c>
      <c r="C12" s="27"/>
      <c r="D12" s="25"/>
      <c r="E12" s="289" t="s">
        <v>79</v>
      </c>
      <c r="F12" s="29">
        <v>43003</v>
      </c>
      <c r="G12" s="210" t="s">
        <v>67</v>
      </c>
      <c r="H12" s="83"/>
      <c r="I12" s="29">
        <v>43012</v>
      </c>
      <c r="J12" s="35">
        <v>28.4</v>
      </c>
      <c r="K12" s="36"/>
      <c r="L12" s="78">
        <v>28.4</v>
      </c>
      <c r="M12" s="83">
        <v>24.9</v>
      </c>
      <c r="N12" s="83">
        <v>23.4</v>
      </c>
      <c r="O12" s="83">
        <v>20.9</v>
      </c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2"/>
      <c r="BF12" s="73">
        <f t="shared" si="3"/>
        <v>1</v>
      </c>
      <c r="BG12" s="73">
        <f t="shared" si="3"/>
        <v>0.87676056338028163</v>
      </c>
      <c r="BH12" s="73">
        <f t="shared" si="3"/>
        <v>0.823943661971831</v>
      </c>
      <c r="BI12" s="73">
        <f t="shared" si="3"/>
        <v>0.7359154929577465</v>
      </c>
      <c r="BJ12" s="73" t="str">
        <f t="shared" si="3"/>
        <v/>
      </c>
      <c r="BK12" s="73" t="str">
        <f t="shared" si="3"/>
        <v/>
      </c>
      <c r="BL12" s="73" t="str">
        <f t="shared" si="3"/>
        <v/>
      </c>
      <c r="BM12" s="73" t="str">
        <f t="shared" si="3"/>
        <v/>
      </c>
      <c r="BN12" s="73" t="str">
        <f t="shared" si="3"/>
        <v/>
      </c>
      <c r="BO12" s="73" t="str">
        <f t="shared" si="3"/>
        <v/>
      </c>
      <c r="BP12" s="73" t="str">
        <f t="shared" si="3"/>
        <v/>
      </c>
      <c r="BQ12" s="73" t="str">
        <f t="shared" si="3"/>
        <v/>
      </c>
      <c r="BR12" s="73" t="str">
        <f t="shared" si="3"/>
        <v/>
      </c>
      <c r="BS12" s="73" t="str">
        <f t="shared" si="3"/>
        <v/>
      </c>
      <c r="BT12" s="73" t="str">
        <f t="shared" si="3"/>
        <v/>
      </c>
      <c r="BU12" s="73" t="str">
        <f t="shared" si="3"/>
        <v/>
      </c>
      <c r="BV12" s="73" t="str">
        <f t="shared" si="4"/>
        <v/>
      </c>
      <c r="BW12" s="73" t="str">
        <f t="shared" si="4"/>
        <v/>
      </c>
      <c r="BX12" s="73" t="str">
        <f t="shared" si="4"/>
        <v/>
      </c>
      <c r="BY12" s="73" t="str">
        <f t="shared" si="4"/>
        <v/>
      </c>
      <c r="BZ12" s="73" t="str">
        <f t="shared" si="4"/>
        <v/>
      </c>
      <c r="CA12" s="73" t="str">
        <f t="shared" si="4"/>
        <v/>
      </c>
      <c r="CB12" s="73" t="str">
        <f t="shared" si="4"/>
        <v/>
      </c>
      <c r="CC12" s="73" t="str">
        <f t="shared" si="4"/>
        <v/>
      </c>
      <c r="CD12" s="73" t="str">
        <f t="shared" si="4"/>
        <v/>
      </c>
      <c r="CE12" s="73" t="str">
        <f t="shared" si="4"/>
        <v/>
      </c>
      <c r="CF12" s="73" t="str">
        <f t="shared" si="4"/>
        <v/>
      </c>
      <c r="CG12" s="73" t="str">
        <f t="shared" si="4"/>
        <v/>
      </c>
      <c r="CH12" s="73" t="str">
        <f t="shared" si="4"/>
        <v/>
      </c>
      <c r="CI12" s="73" t="str">
        <f t="shared" si="4"/>
        <v/>
      </c>
      <c r="CJ12" s="73" t="str">
        <f t="shared" si="4"/>
        <v/>
      </c>
      <c r="CK12" s="73" t="str">
        <f t="shared" si="4"/>
        <v/>
      </c>
      <c r="CL12" s="73" t="str">
        <f t="shared" si="5"/>
        <v/>
      </c>
      <c r="CM12" s="73" t="str">
        <f t="shared" si="5"/>
        <v/>
      </c>
      <c r="CN12" s="73" t="str">
        <f t="shared" si="5"/>
        <v/>
      </c>
      <c r="CO12" s="73" t="str">
        <f t="shared" si="5"/>
        <v/>
      </c>
      <c r="CP12" s="73" t="str">
        <f t="shared" si="5"/>
        <v/>
      </c>
      <c r="CQ12" s="73" t="str">
        <f t="shared" si="5"/>
        <v/>
      </c>
      <c r="CR12" s="73" t="str">
        <f t="shared" si="5"/>
        <v/>
      </c>
      <c r="CS12" s="73" t="str">
        <f t="shared" si="5"/>
        <v/>
      </c>
      <c r="CT12" s="73" t="str">
        <f t="shared" si="5"/>
        <v/>
      </c>
      <c r="CU12" s="73" t="str">
        <f t="shared" si="5"/>
        <v/>
      </c>
      <c r="CV12" s="73" t="str">
        <f t="shared" si="5"/>
        <v/>
      </c>
      <c r="CW12" s="73" t="str">
        <f t="shared" si="5"/>
        <v/>
      </c>
      <c r="CX12" s="73" t="str">
        <f t="shared" si="5"/>
        <v/>
      </c>
      <c r="CY12" s="3"/>
    </row>
    <row r="13" spans="1:103">
      <c r="A13" s="37">
        <v>1093343</v>
      </c>
      <c r="B13" s="1">
        <v>24</v>
      </c>
      <c r="C13" s="27"/>
      <c r="D13" s="25"/>
      <c r="E13" s="289" t="s">
        <v>62</v>
      </c>
      <c r="F13" s="29">
        <v>43003</v>
      </c>
      <c r="G13" s="210" t="s">
        <v>67</v>
      </c>
      <c r="H13" s="83"/>
      <c r="I13" s="29">
        <v>43012</v>
      </c>
      <c r="J13" s="35">
        <v>25.9</v>
      </c>
      <c r="K13" s="36"/>
      <c r="L13" s="78">
        <v>25.9</v>
      </c>
      <c r="M13" s="83">
        <v>25.5</v>
      </c>
      <c r="N13" s="83">
        <v>25.6</v>
      </c>
      <c r="O13" s="83">
        <v>25</v>
      </c>
      <c r="P13" s="83">
        <v>25.1</v>
      </c>
      <c r="Q13" s="83">
        <v>24.3</v>
      </c>
      <c r="R13" s="83">
        <v>24.7</v>
      </c>
      <c r="S13" s="83">
        <v>25.3</v>
      </c>
      <c r="T13" s="83">
        <v>25.1</v>
      </c>
      <c r="U13" s="83">
        <v>26.3</v>
      </c>
      <c r="V13" s="83">
        <v>25.9</v>
      </c>
      <c r="W13" s="83">
        <v>24.8</v>
      </c>
      <c r="X13" s="83">
        <v>24.9</v>
      </c>
      <c r="Y13" s="83">
        <v>25.7</v>
      </c>
      <c r="Z13" s="83">
        <v>25.3</v>
      </c>
      <c r="AA13" s="83">
        <v>25.3</v>
      </c>
      <c r="AB13" s="83">
        <v>25.9</v>
      </c>
      <c r="AC13" s="83">
        <v>25.6</v>
      </c>
      <c r="AD13" s="83">
        <v>26</v>
      </c>
      <c r="AE13" s="83">
        <v>26.5</v>
      </c>
      <c r="AF13" s="83">
        <v>26.7</v>
      </c>
      <c r="AG13" s="83">
        <v>25.9</v>
      </c>
      <c r="AH13" s="83">
        <v>26.8</v>
      </c>
      <c r="AI13" s="83">
        <v>25.8</v>
      </c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2"/>
      <c r="BF13" s="73">
        <f t="shared" si="3"/>
        <v>1</v>
      </c>
      <c r="BG13" s="73">
        <f t="shared" si="3"/>
        <v>0.98455598455598459</v>
      </c>
      <c r="BH13" s="73">
        <f t="shared" si="3"/>
        <v>0.98841698841698855</v>
      </c>
      <c r="BI13" s="73">
        <f t="shared" si="3"/>
        <v>0.96525096525096532</v>
      </c>
      <c r="BJ13" s="73">
        <f t="shared" si="3"/>
        <v>0.96911196911196917</v>
      </c>
      <c r="BK13" s="73">
        <f t="shared" si="3"/>
        <v>0.93822393822393835</v>
      </c>
      <c r="BL13" s="73">
        <f t="shared" si="3"/>
        <v>0.95366795366795365</v>
      </c>
      <c r="BM13" s="73">
        <f t="shared" si="3"/>
        <v>0.97683397683397688</v>
      </c>
      <c r="BN13" s="73">
        <f t="shared" si="3"/>
        <v>0.96911196911196917</v>
      </c>
      <c r="BO13" s="73">
        <f t="shared" si="3"/>
        <v>1.0154440154440156</v>
      </c>
      <c r="BP13" s="73">
        <f t="shared" si="3"/>
        <v>1</v>
      </c>
      <c r="BQ13" s="73">
        <f t="shared" si="3"/>
        <v>0.95752895752895761</v>
      </c>
      <c r="BR13" s="73">
        <f t="shared" si="3"/>
        <v>0.96138996138996136</v>
      </c>
      <c r="BS13" s="73">
        <f t="shared" si="3"/>
        <v>0.99227799227799229</v>
      </c>
      <c r="BT13" s="73">
        <f t="shared" si="3"/>
        <v>0.97683397683397688</v>
      </c>
      <c r="BU13" s="73">
        <f t="shared" si="3"/>
        <v>0.97683397683397688</v>
      </c>
      <c r="BV13" s="73">
        <f t="shared" si="4"/>
        <v>1</v>
      </c>
      <c r="BW13" s="73">
        <f t="shared" si="4"/>
        <v>0.98841698841698855</v>
      </c>
      <c r="BX13" s="73">
        <f t="shared" si="4"/>
        <v>1.0038610038610039</v>
      </c>
      <c r="BY13" s="73">
        <f t="shared" si="4"/>
        <v>1.0231660231660231</v>
      </c>
      <c r="BZ13" s="73">
        <f t="shared" si="4"/>
        <v>1.0308880308880308</v>
      </c>
      <c r="CA13" s="73">
        <f t="shared" si="4"/>
        <v>1</v>
      </c>
      <c r="CB13" s="73">
        <f t="shared" si="4"/>
        <v>1.0347490347490349</v>
      </c>
      <c r="CC13" s="73">
        <f t="shared" si="4"/>
        <v>0.99613899613899626</v>
      </c>
      <c r="CD13" s="73" t="str">
        <f t="shared" si="4"/>
        <v/>
      </c>
      <c r="CE13" s="73" t="str">
        <f t="shared" si="4"/>
        <v/>
      </c>
      <c r="CF13" s="73" t="str">
        <f t="shared" si="4"/>
        <v/>
      </c>
      <c r="CG13" s="73" t="str">
        <f t="shared" si="4"/>
        <v/>
      </c>
      <c r="CH13" s="73" t="str">
        <f t="shared" si="4"/>
        <v/>
      </c>
      <c r="CI13" s="73" t="str">
        <f t="shared" si="4"/>
        <v/>
      </c>
      <c r="CJ13" s="73" t="str">
        <f t="shared" si="4"/>
        <v/>
      </c>
      <c r="CK13" s="73" t="str">
        <f t="shared" si="4"/>
        <v/>
      </c>
      <c r="CL13" s="73" t="str">
        <f t="shared" si="5"/>
        <v/>
      </c>
      <c r="CM13" s="73" t="str">
        <f t="shared" si="5"/>
        <v/>
      </c>
      <c r="CN13" s="73" t="str">
        <f t="shared" si="5"/>
        <v/>
      </c>
      <c r="CO13" s="73" t="str">
        <f t="shared" si="5"/>
        <v/>
      </c>
      <c r="CP13" s="73" t="str">
        <f t="shared" si="5"/>
        <v/>
      </c>
      <c r="CQ13" s="73" t="str">
        <f t="shared" si="5"/>
        <v/>
      </c>
      <c r="CR13" s="73" t="str">
        <f t="shared" si="5"/>
        <v/>
      </c>
      <c r="CS13" s="73" t="str">
        <f t="shared" si="5"/>
        <v/>
      </c>
      <c r="CT13" s="73" t="str">
        <f t="shared" si="5"/>
        <v/>
      </c>
      <c r="CU13" s="73" t="str">
        <f t="shared" si="5"/>
        <v/>
      </c>
      <c r="CV13" s="73" t="str">
        <f t="shared" si="5"/>
        <v/>
      </c>
      <c r="CW13" s="73" t="str">
        <f t="shared" si="5"/>
        <v/>
      </c>
      <c r="CX13" s="73" t="str">
        <f t="shared" si="5"/>
        <v/>
      </c>
      <c r="CY13" s="3"/>
    </row>
    <row r="14" spans="1:103">
      <c r="A14" s="38">
        <v>1093343</v>
      </c>
      <c r="B14" s="4">
        <v>25</v>
      </c>
      <c r="C14" s="89"/>
      <c r="D14" s="25"/>
      <c r="E14" s="34" t="s">
        <v>63</v>
      </c>
      <c r="F14" s="29">
        <v>43003</v>
      </c>
      <c r="G14" s="210" t="s">
        <v>67</v>
      </c>
      <c r="H14" s="84"/>
      <c r="I14" s="29">
        <v>43012</v>
      </c>
      <c r="J14" s="40">
        <v>30.1</v>
      </c>
      <c r="K14" s="42"/>
      <c r="L14" s="91">
        <v>30.1</v>
      </c>
      <c r="M14" s="84">
        <v>27.3</v>
      </c>
      <c r="N14" s="84">
        <v>27.5</v>
      </c>
      <c r="O14" s="84">
        <v>28.7</v>
      </c>
      <c r="P14" s="84">
        <v>29.2</v>
      </c>
      <c r="Q14" s="84">
        <v>28.2</v>
      </c>
      <c r="R14" s="84">
        <v>28.9</v>
      </c>
      <c r="S14" s="84">
        <v>29.8</v>
      </c>
      <c r="T14" s="84">
        <v>29.5</v>
      </c>
      <c r="U14" s="84">
        <v>30</v>
      </c>
      <c r="V14" s="84">
        <v>29.8</v>
      </c>
      <c r="W14" s="84">
        <v>28.8</v>
      </c>
      <c r="X14" s="84">
        <v>29.8</v>
      </c>
      <c r="Y14" s="84">
        <v>29.9</v>
      </c>
      <c r="Z14" s="84">
        <v>29.5</v>
      </c>
      <c r="AA14" s="84">
        <v>28.8</v>
      </c>
      <c r="AB14" s="84">
        <v>29.7</v>
      </c>
      <c r="AC14" s="84">
        <v>29.2</v>
      </c>
      <c r="AD14" s="84">
        <v>30.1</v>
      </c>
      <c r="AE14" s="84">
        <v>30.4</v>
      </c>
      <c r="AF14" s="84">
        <v>30.1</v>
      </c>
      <c r="AG14" s="84">
        <v>29.6</v>
      </c>
      <c r="AH14" s="84">
        <v>30.7</v>
      </c>
      <c r="AI14" s="84">
        <v>30.2</v>
      </c>
      <c r="AJ14" s="84">
        <v>30.4</v>
      </c>
      <c r="AK14" s="84">
        <v>29.9</v>
      </c>
      <c r="AL14" s="84">
        <v>30.3</v>
      </c>
      <c r="AM14" s="84">
        <v>29.9</v>
      </c>
      <c r="AN14" s="84">
        <v>29.8</v>
      </c>
      <c r="AO14" s="84">
        <v>29.8</v>
      </c>
      <c r="AP14" s="84">
        <v>30.6</v>
      </c>
      <c r="AQ14" s="84">
        <v>31.5</v>
      </c>
      <c r="AR14" s="84">
        <v>31.9</v>
      </c>
      <c r="AS14" s="84">
        <v>31.9</v>
      </c>
      <c r="AT14" s="84">
        <v>31.9</v>
      </c>
      <c r="AU14" s="84">
        <v>31.8</v>
      </c>
      <c r="AV14" s="84">
        <v>32.299999999999997</v>
      </c>
      <c r="AW14" s="84">
        <v>32.5</v>
      </c>
      <c r="AX14" s="84">
        <v>32.9</v>
      </c>
      <c r="AY14" s="84">
        <v>32.799999999999997</v>
      </c>
      <c r="AZ14" s="84">
        <v>32.6</v>
      </c>
      <c r="BA14" s="84">
        <v>32.200000000000003</v>
      </c>
      <c r="BB14" s="84">
        <v>32.9</v>
      </c>
      <c r="BC14" s="84"/>
      <c r="BD14" s="84"/>
      <c r="BE14" s="5"/>
      <c r="BF14" s="73">
        <f t="shared" si="3"/>
        <v>1</v>
      </c>
      <c r="BG14" s="73">
        <f t="shared" si="3"/>
        <v>0.90697674418604646</v>
      </c>
      <c r="BH14" s="73">
        <f t="shared" si="3"/>
        <v>0.91362126245847175</v>
      </c>
      <c r="BI14" s="73">
        <f t="shared" si="3"/>
        <v>0.95348837209302317</v>
      </c>
      <c r="BJ14" s="73">
        <f t="shared" si="3"/>
        <v>0.97009966777408629</v>
      </c>
      <c r="BK14" s="73">
        <f t="shared" si="3"/>
        <v>0.93687707641196005</v>
      </c>
      <c r="BL14" s="73">
        <f t="shared" si="3"/>
        <v>0.96013289036544847</v>
      </c>
      <c r="BM14" s="73">
        <f t="shared" si="3"/>
        <v>0.99003322259136206</v>
      </c>
      <c r="BN14" s="73">
        <f t="shared" si="3"/>
        <v>0.98006644518272423</v>
      </c>
      <c r="BO14" s="73">
        <f t="shared" si="3"/>
        <v>0.99667774086378735</v>
      </c>
      <c r="BP14" s="73">
        <f t="shared" si="3"/>
        <v>0.99003322259136206</v>
      </c>
      <c r="BQ14" s="73">
        <f t="shared" si="3"/>
        <v>0.95681063122923582</v>
      </c>
      <c r="BR14" s="73">
        <f t="shared" si="3"/>
        <v>0.99003322259136206</v>
      </c>
      <c r="BS14" s="73">
        <f t="shared" si="3"/>
        <v>0.99335548172757471</v>
      </c>
      <c r="BT14" s="73">
        <f t="shared" si="3"/>
        <v>0.98006644518272423</v>
      </c>
      <c r="BU14" s="73">
        <f t="shared" si="3"/>
        <v>0.95681063122923582</v>
      </c>
      <c r="BV14" s="73">
        <f t="shared" si="4"/>
        <v>0.98671096345514941</v>
      </c>
      <c r="BW14" s="73">
        <f t="shared" si="4"/>
        <v>0.97009966777408629</v>
      </c>
      <c r="BX14" s="73">
        <f t="shared" si="4"/>
        <v>1</v>
      </c>
      <c r="BY14" s="73">
        <f t="shared" si="4"/>
        <v>1.0099667774086378</v>
      </c>
      <c r="BZ14" s="73">
        <f t="shared" si="4"/>
        <v>1</v>
      </c>
      <c r="CA14" s="73">
        <f t="shared" si="4"/>
        <v>0.98338870431893688</v>
      </c>
      <c r="CB14" s="73">
        <f t="shared" si="4"/>
        <v>1.0199335548172757</v>
      </c>
      <c r="CC14" s="73">
        <f t="shared" si="4"/>
        <v>1.0033222591362125</v>
      </c>
      <c r="CD14" s="73">
        <f t="shared" si="4"/>
        <v>1.0099667774086378</v>
      </c>
      <c r="CE14" s="73">
        <f t="shared" si="4"/>
        <v>0.99335548172757471</v>
      </c>
      <c r="CF14" s="73">
        <f t="shared" si="4"/>
        <v>1.0066445182724253</v>
      </c>
      <c r="CG14" s="73">
        <f t="shared" si="4"/>
        <v>0.99335548172757471</v>
      </c>
      <c r="CH14" s="73">
        <f t="shared" si="4"/>
        <v>0.99003322259136206</v>
      </c>
      <c r="CI14" s="73">
        <f t="shared" si="4"/>
        <v>0.99003322259136206</v>
      </c>
      <c r="CJ14" s="73">
        <f t="shared" si="4"/>
        <v>1.0166112956810631</v>
      </c>
      <c r="CK14" s="73">
        <f t="shared" si="4"/>
        <v>1.0465116279069766</v>
      </c>
      <c r="CL14" s="73">
        <f t="shared" si="5"/>
        <v>1.0598006644518272</v>
      </c>
      <c r="CM14" s="73">
        <f t="shared" si="5"/>
        <v>1.0598006644518272</v>
      </c>
      <c r="CN14" s="73">
        <f t="shared" si="5"/>
        <v>1.0598006644518272</v>
      </c>
      <c r="CO14" s="73">
        <f t="shared" si="5"/>
        <v>1.0564784053156147</v>
      </c>
      <c r="CP14" s="73">
        <f t="shared" si="5"/>
        <v>1.0730897009966776</v>
      </c>
      <c r="CQ14" s="73">
        <f t="shared" si="5"/>
        <v>1.0797342192691028</v>
      </c>
      <c r="CR14" s="73">
        <f t="shared" si="5"/>
        <v>1.0930232558139534</v>
      </c>
      <c r="CS14" s="73">
        <f t="shared" si="5"/>
        <v>1.0897009966777407</v>
      </c>
      <c r="CT14" s="73">
        <f t="shared" si="5"/>
        <v>1.0830564784053156</v>
      </c>
      <c r="CU14" s="73">
        <f t="shared" si="5"/>
        <v>1.0697674418604652</v>
      </c>
      <c r="CV14" s="73">
        <f t="shared" si="5"/>
        <v>1.0930232558139534</v>
      </c>
      <c r="CW14" s="73" t="str">
        <f t="shared" si="5"/>
        <v/>
      </c>
      <c r="CX14" s="73" t="str">
        <f t="shared" si="5"/>
        <v/>
      </c>
      <c r="CY14" s="3"/>
    </row>
    <row r="15" spans="1:103">
      <c r="A15" s="290"/>
      <c r="B15" s="291"/>
      <c r="C15" s="292"/>
      <c r="D15" s="291"/>
      <c r="E15" s="293"/>
      <c r="F15" s="294"/>
      <c r="G15" s="295"/>
      <c r="H15" s="296"/>
      <c r="I15" s="294"/>
      <c r="J15" s="296"/>
      <c r="K15" s="291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</row>
    <row r="16" spans="1:103" ht="14.25" customHeight="1">
      <c r="A16" s="53"/>
      <c r="B16" s="53"/>
      <c r="C16" s="53"/>
      <c r="E16" s="93" t="s">
        <v>16</v>
      </c>
      <c r="I16" s="300" t="s">
        <v>16</v>
      </c>
      <c r="J16" s="79">
        <f>AVERAGE(J5:J14)</f>
        <v>28.73</v>
      </c>
      <c r="K16" s="72" t="s">
        <v>9</v>
      </c>
      <c r="L16" s="78">
        <f t="shared" ref="L16:BD16" si="6">AVERAGE(L5:L14)</f>
        <v>28.73</v>
      </c>
      <c r="M16" s="78">
        <f t="shared" si="6"/>
        <v>27.27</v>
      </c>
      <c r="N16" s="78">
        <f t="shared" si="6"/>
        <v>27.389999999999997</v>
      </c>
      <c r="O16" s="78">
        <f t="shared" si="6"/>
        <v>27</v>
      </c>
      <c r="P16" s="78">
        <f t="shared" si="6"/>
        <v>27.844444444444441</v>
      </c>
      <c r="Q16" s="78">
        <f t="shared" si="6"/>
        <v>26.855555555555554</v>
      </c>
      <c r="R16" s="78">
        <f t="shared" si="6"/>
        <v>27.577777777777776</v>
      </c>
      <c r="S16" s="78">
        <f t="shared" si="6"/>
        <v>28.177777777777781</v>
      </c>
      <c r="T16" s="78">
        <f t="shared" si="6"/>
        <v>27.566666666666666</v>
      </c>
      <c r="U16" s="78">
        <f t="shared" si="6"/>
        <v>28.555555555555557</v>
      </c>
      <c r="V16" s="78">
        <f t="shared" si="6"/>
        <v>28.177777777777781</v>
      </c>
      <c r="W16" s="78">
        <f t="shared" si="6"/>
        <v>27.233333333333334</v>
      </c>
      <c r="X16" s="78">
        <f t="shared" si="6"/>
        <v>27.577777777777779</v>
      </c>
      <c r="Y16" s="78">
        <f t="shared" si="6"/>
        <v>27.955555555555556</v>
      </c>
      <c r="Z16" s="78">
        <f t="shared" si="6"/>
        <v>27.577777777777776</v>
      </c>
      <c r="AA16" s="78">
        <f t="shared" si="6"/>
        <v>27.06666666666667</v>
      </c>
      <c r="AB16" s="78">
        <f t="shared" si="6"/>
        <v>27.788888888888891</v>
      </c>
      <c r="AC16" s="78">
        <f t="shared" si="6"/>
        <v>27.311111111111114</v>
      </c>
      <c r="AD16" s="78">
        <f t="shared" si="6"/>
        <v>27.862500000000001</v>
      </c>
      <c r="AE16" s="78">
        <f t="shared" si="6"/>
        <v>28.587500000000002</v>
      </c>
      <c r="AF16" s="78">
        <f t="shared" si="6"/>
        <v>28.387499999999999</v>
      </c>
      <c r="AG16" s="78">
        <f t="shared" si="6"/>
        <v>27.887500000000003</v>
      </c>
      <c r="AH16" s="78">
        <f t="shared" si="6"/>
        <v>28.950000000000003</v>
      </c>
      <c r="AI16" s="78">
        <f t="shared" si="6"/>
        <v>28.462500000000002</v>
      </c>
      <c r="AJ16" s="78">
        <f t="shared" si="6"/>
        <v>29.157142857142855</v>
      </c>
      <c r="AK16" s="78">
        <f t="shared" si="6"/>
        <v>28.8</v>
      </c>
      <c r="AL16" s="78">
        <f t="shared" si="6"/>
        <v>29.228571428571431</v>
      </c>
      <c r="AM16" s="78">
        <f t="shared" si="6"/>
        <v>28.985714285714288</v>
      </c>
      <c r="AN16" s="78">
        <f t="shared" si="6"/>
        <v>28.914285714285715</v>
      </c>
      <c r="AO16" s="78">
        <f t="shared" si="6"/>
        <v>28.316666666666674</v>
      </c>
      <c r="AP16" s="78">
        <f t="shared" si="6"/>
        <v>28.400000000000002</v>
      </c>
      <c r="AQ16" s="78">
        <f t="shared" si="6"/>
        <v>29.316666666666666</v>
      </c>
      <c r="AR16" s="78">
        <f t="shared" si="6"/>
        <v>29.733333333333334</v>
      </c>
      <c r="AS16" s="78">
        <f t="shared" si="6"/>
        <v>29.483333333333334</v>
      </c>
      <c r="AT16" s="78">
        <f t="shared" si="6"/>
        <v>29.5</v>
      </c>
      <c r="AU16" s="78">
        <f t="shared" si="6"/>
        <v>28.7</v>
      </c>
      <c r="AV16" s="78">
        <f t="shared" si="6"/>
        <v>28.424999999999997</v>
      </c>
      <c r="AW16" s="78">
        <f t="shared" si="6"/>
        <v>28.574999999999999</v>
      </c>
      <c r="AX16" s="78">
        <f t="shared" si="6"/>
        <v>29.200000000000003</v>
      </c>
      <c r="AY16" s="78">
        <f t="shared" si="6"/>
        <v>31.033333333333331</v>
      </c>
      <c r="AZ16" s="78">
        <f t="shared" si="6"/>
        <v>30.666666666666668</v>
      </c>
      <c r="BA16" s="78">
        <f t="shared" si="6"/>
        <v>30.8</v>
      </c>
      <c r="BB16" s="78">
        <f t="shared" si="6"/>
        <v>31.566666666666663</v>
      </c>
      <c r="BC16" s="78">
        <f t="shared" si="6"/>
        <v>29.950000000000003</v>
      </c>
      <c r="BD16" s="78">
        <f t="shared" si="6"/>
        <v>29.55</v>
      </c>
      <c r="BE16" s="101" t="s">
        <v>9</v>
      </c>
      <c r="BF16" s="73">
        <f t="shared" ref="BF16:CX16" si="7">AVERAGE(BF5:BF14)</f>
        <v>1</v>
      </c>
      <c r="BG16" s="73">
        <f t="shared" si="7"/>
        <v>0.95020288450581591</v>
      </c>
      <c r="BH16" s="73">
        <f t="shared" si="7"/>
        <v>0.95428601151040304</v>
      </c>
      <c r="BI16" s="73">
        <f t="shared" si="7"/>
        <v>0.94021879234369798</v>
      </c>
      <c r="BJ16" s="73">
        <f t="shared" si="7"/>
        <v>0.96844918796623825</v>
      </c>
      <c r="BK16" s="73">
        <f t="shared" si="7"/>
        <v>0.93410745795706851</v>
      </c>
      <c r="BL16" s="73">
        <f t="shared" si="7"/>
        <v>0.95929460812617784</v>
      </c>
      <c r="BM16" s="73">
        <f t="shared" si="7"/>
        <v>0.98028559426211315</v>
      </c>
      <c r="BN16" s="73">
        <f t="shared" si="7"/>
        <v>0.95880798120681832</v>
      </c>
      <c r="BO16" s="73">
        <f t="shared" si="7"/>
        <v>0.99347547179782836</v>
      </c>
      <c r="BP16" s="73">
        <f t="shared" si="7"/>
        <v>0.98027009357904837</v>
      </c>
      <c r="BQ16" s="73">
        <f t="shared" si="7"/>
        <v>0.94736767263224386</v>
      </c>
      <c r="BR16" s="73">
        <f t="shared" si="7"/>
        <v>0.95899173737222787</v>
      </c>
      <c r="BS16" s="73">
        <f t="shared" si="7"/>
        <v>0.97218904175828591</v>
      </c>
      <c r="BT16" s="73">
        <f t="shared" si="7"/>
        <v>0.9591028468156918</v>
      </c>
      <c r="BU16" s="73">
        <f t="shared" si="7"/>
        <v>0.94138715183694444</v>
      </c>
      <c r="BV16" s="73">
        <f t="shared" si="7"/>
        <v>0.96646447300178828</v>
      </c>
      <c r="BW16" s="73">
        <f t="shared" si="7"/>
        <v>0.94972804088202545</v>
      </c>
      <c r="BX16" s="73">
        <f t="shared" si="7"/>
        <v>0.96002760545905741</v>
      </c>
      <c r="BY16" s="73">
        <f t="shared" si="7"/>
        <v>0.98512462603004436</v>
      </c>
      <c r="BZ16" s="73">
        <f t="shared" si="7"/>
        <v>0.97835688520296371</v>
      </c>
      <c r="CA16" s="73">
        <f t="shared" si="7"/>
        <v>0.96133256228918718</v>
      </c>
      <c r="CB16" s="73">
        <f t="shared" si="7"/>
        <v>0.99804428130211365</v>
      </c>
      <c r="CC16" s="73">
        <f t="shared" si="7"/>
        <v>0.98065834390377482</v>
      </c>
      <c r="CD16" s="73">
        <f t="shared" si="7"/>
        <v>0.98892911896754299</v>
      </c>
      <c r="CE16" s="73">
        <f t="shared" si="7"/>
        <v>0.97638172952176461</v>
      </c>
      <c r="CF16" s="73">
        <f t="shared" si="7"/>
        <v>0.99120580211208498</v>
      </c>
      <c r="CG16" s="73">
        <f t="shared" si="7"/>
        <v>0.98244362888963621</v>
      </c>
      <c r="CH16" s="73">
        <f t="shared" si="7"/>
        <v>0.98038204254010386</v>
      </c>
      <c r="CI16" s="73">
        <f t="shared" si="7"/>
        <v>0.9760325707050409</v>
      </c>
      <c r="CJ16" s="73">
        <f t="shared" si="7"/>
        <v>0.97864511048192082</v>
      </c>
      <c r="CK16" s="73">
        <f t="shared" si="7"/>
        <v>1.0100007667528792</v>
      </c>
      <c r="CL16" s="73">
        <f t="shared" si="7"/>
        <v>1.0247512582173401</v>
      </c>
      <c r="CM16" s="73">
        <f t="shared" si="7"/>
        <v>1.0153894935686003</v>
      </c>
      <c r="CN16" s="73">
        <f t="shared" si="7"/>
        <v>1.0325269692991532</v>
      </c>
      <c r="CO16" s="73">
        <f t="shared" si="7"/>
        <v>1.0032917691207497</v>
      </c>
      <c r="CP16" s="73">
        <f t="shared" si="7"/>
        <v>0.99271057323036582</v>
      </c>
      <c r="CQ16" s="73">
        <f t="shared" si="7"/>
        <v>0.99748465208041526</v>
      </c>
      <c r="CR16" s="73">
        <f t="shared" si="7"/>
        <v>1.0191462111972638</v>
      </c>
      <c r="CS16" s="73">
        <f t="shared" si="7"/>
        <v>1.0610994542606704</v>
      </c>
      <c r="CT16" s="73">
        <f t="shared" si="7"/>
        <v>1.0483241079965202</v>
      </c>
      <c r="CU16" s="73">
        <f t="shared" si="7"/>
        <v>1.0532368798129417</v>
      </c>
      <c r="CV16" s="73">
        <f t="shared" si="7"/>
        <v>1.0794727197579856</v>
      </c>
      <c r="CW16" s="73">
        <f t="shared" si="7"/>
        <v>1.0397315452429479</v>
      </c>
      <c r="CX16" s="73">
        <f t="shared" si="7"/>
        <v>1.0257178692458906</v>
      </c>
      <c r="CY16" s="3"/>
    </row>
    <row r="17" spans="1:103" ht="14.25" customHeight="1">
      <c r="E17" s="301"/>
      <c r="I17" s="300"/>
      <c r="J17" s="79">
        <f>_xlfn.STDEV.P(J5:J14)</f>
        <v>1.8831091311976591</v>
      </c>
      <c r="K17" s="72" t="s">
        <v>11</v>
      </c>
      <c r="L17" s="81">
        <f t="shared" ref="L17:BD17" si="8">STDEVA(L5:L14)</f>
        <v>1.9849713124151478</v>
      </c>
      <c r="M17" s="81">
        <f t="shared" si="8"/>
        <v>1.7107827967856639</v>
      </c>
      <c r="N17" s="81">
        <f t="shared" si="8"/>
        <v>2.0936146307814685</v>
      </c>
      <c r="O17" s="81">
        <f t="shared" si="8"/>
        <v>2.7357712704910924</v>
      </c>
      <c r="P17" s="81">
        <f t="shared" si="8"/>
        <v>1.9300978674092608</v>
      </c>
      <c r="Q17" s="81">
        <f t="shared" si="8"/>
        <v>1.9666666666666666</v>
      </c>
      <c r="R17" s="81">
        <f t="shared" si="8"/>
        <v>1.8633154441598034</v>
      </c>
      <c r="S17" s="81">
        <f t="shared" si="8"/>
        <v>1.9664547908468288</v>
      </c>
      <c r="T17" s="81">
        <f t="shared" si="8"/>
        <v>2.0174241001832014</v>
      </c>
      <c r="U17" s="81">
        <f t="shared" si="8"/>
        <v>1.8159784629168314</v>
      </c>
      <c r="V17" s="81">
        <f t="shared" si="8"/>
        <v>1.8686745153836832</v>
      </c>
      <c r="W17" s="81">
        <f t="shared" si="8"/>
        <v>1.8048545647780048</v>
      </c>
      <c r="X17" s="81">
        <f t="shared" si="8"/>
        <v>2.0357908646136624</v>
      </c>
      <c r="Y17" s="81">
        <f t="shared" si="8"/>
        <v>2.0031918973922038</v>
      </c>
      <c r="Z17" s="81">
        <f t="shared" si="8"/>
        <v>2.0141858018674559</v>
      </c>
      <c r="AA17" s="81">
        <f t="shared" si="8"/>
        <v>1.9962464777677129</v>
      </c>
      <c r="AB17" s="81">
        <f t="shared" si="8"/>
        <v>2.0708962096423642</v>
      </c>
      <c r="AC17" s="81">
        <f t="shared" si="8"/>
        <v>2.1002645336031147</v>
      </c>
      <c r="AD17" s="81">
        <f t="shared" si="8"/>
        <v>2.2064434860523523</v>
      </c>
      <c r="AE17" s="81">
        <f t="shared" si="8"/>
        <v>2.1457183279398864</v>
      </c>
      <c r="AF17" s="81">
        <f t="shared" si="8"/>
        <v>2.1839920852813148</v>
      </c>
      <c r="AG17" s="81">
        <f t="shared" si="8"/>
        <v>2.0999574825627847</v>
      </c>
      <c r="AH17" s="81">
        <f t="shared" si="8"/>
        <v>2.0354009783964289</v>
      </c>
      <c r="AI17" s="81">
        <f t="shared" si="8"/>
        <v>2.3101870672554385</v>
      </c>
      <c r="AJ17" s="81">
        <f t="shared" si="8"/>
        <v>2.322970184094165</v>
      </c>
      <c r="AK17" s="81">
        <f t="shared" si="8"/>
        <v>2.5033311140691459</v>
      </c>
      <c r="AL17" s="81">
        <f t="shared" si="8"/>
        <v>2.2566304421373369</v>
      </c>
      <c r="AM17" s="81">
        <f t="shared" si="8"/>
        <v>2.5563180367008131</v>
      </c>
      <c r="AN17" s="81">
        <f t="shared" si="8"/>
        <v>2.3688454089341859</v>
      </c>
      <c r="AO17" s="81">
        <f t="shared" si="8"/>
        <v>1.156575404660962</v>
      </c>
      <c r="AP17" s="81">
        <f t="shared" si="8"/>
        <v>1.4156270695349114</v>
      </c>
      <c r="AQ17" s="81">
        <f t="shared" si="8"/>
        <v>1.6436747447918847</v>
      </c>
      <c r="AR17" s="81">
        <f t="shared" si="8"/>
        <v>1.4123266855323051</v>
      </c>
      <c r="AS17" s="81">
        <f t="shared" si="8"/>
        <v>1.7531875731554407</v>
      </c>
      <c r="AT17" s="81">
        <f t="shared" si="8"/>
        <v>2.1494185260204675</v>
      </c>
      <c r="AU17" s="81">
        <f t="shared" si="8"/>
        <v>2.9234682599040931</v>
      </c>
      <c r="AV17" s="81">
        <f t="shared" si="8"/>
        <v>3.5733970765458998</v>
      </c>
      <c r="AW17" s="81">
        <f t="shared" si="8"/>
        <v>3.9092838218783892</v>
      </c>
      <c r="AX17" s="81">
        <f t="shared" si="8"/>
        <v>4.0743097574926246</v>
      </c>
      <c r="AY17" s="81">
        <f t="shared" si="8"/>
        <v>1.6623276853055562</v>
      </c>
      <c r="AZ17" s="81">
        <f t="shared" si="8"/>
        <v>1.950213663508011</v>
      </c>
      <c r="BA17" s="81">
        <f t="shared" si="8"/>
        <v>1.4525839046333959</v>
      </c>
      <c r="BB17" s="81">
        <f t="shared" si="8"/>
        <v>1.4640127503998495</v>
      </c>
      <c r="BC17" s="81">
        <f t="shared" si="8"/>
        <v>1.2020815280171302</v>
      </c>
      <c r="BD17" s="81">
        <f t="shared" si="8"/>
        <v>1.4849242404917509</v>
      </c>
      <c r="BE17" s="102" t="s">
        <v>11</v>
      </c>
      <c r="BF17" s="74">
        <f t="shared" ref="BF17:CX17" si="9">STDEVA(BF5:BF14)</f>
        <v>0</v>
      </c>
      <c r="BG17" s="74">
        <f t="shared" si="9"/>
        <v>3.6493862358610421E-2</v>
      </c>
      <c r="BH17" s="74">
        <f t="shared" si="9"/>
        <v>5.3458260036848816E-2</v>
      </c>
      <c r="BI17" s="74">
        <f t="shared" si="9"/>
        <v>7.5439455948034681E-2</v>
      </c>
      <c r="BJ17" s="74">
        <f t="shared" si="9"/>
        <v>0.30704661298472996</v>
      </c>
      <c r="BK17" s="74">
        <f t="shared" si="9"/>
        <v>0.29692384404359268</v>
      </c>
      <c r="BL17" s="74">
        <f t="shared" si="9"/>
        <v>0.30425367026560074</v>
      </c>
      <c r="BM17" s="74">
        <f t="shared" si="9"/>
        <v>0.31175412552949455</v>
      </c>
      <c r="BN17" s="74">
        <f t="shared" si="9"/>
        <v>0.30470642755179295</v>
      </c>
      <c r="BO17" s="74">
        <f t="shared" si="9"/>
        <v>0.31482660863804346</v>
      </c>
      <c r="BP17" s="74">
        <f t="shared" si="9"/>
        <v>0.31093292662587135</v>
      </c>
      <c r="BQ17" s="74">
        <f t="shared" si="9"/>
        <v>0.30031708393338991</v>
      </c>
      <c r="BR17" s="74">
        <f t="shared" si="9"/>
        <v>0.3042367072231712</v>
      </c>
      <c r="BS17" s="74">
        <f t="shared" si="9"/>
        <v>0.30826503703046682</v>
      </c>
      <c r="BT17" s="74">
        <f t="shared" si="9"/>
        <v>0.30443579540770943</v>
      </c>
      <c r="BU17" s="74">
        <f t="shared" si="9"/>
        <v>0.29904717508784739</v>
      </c>
      <c r="BV17" s="74">
        <f t="shared" si="9"/>
        <v>0.30710080060743267</v>
      </c>
      <c r="BW17" s="74">
        <f t="shared" si="9"/>
        <v>0.30191370188542788</v>
      </c>
      <c r="BX17" s="74">
        <f t="shared" si="9"/>
        <v>0.40583723101306135</v>
      </c>
      <c r="BY17" s="74">
        <f t="shared" si="9"/>
        <v>0.41603792924274019</v>
      </c>
      <c r="BZ17" s="74">
        <f t="shared" si="9"/>
        <v>0.41367096409401449</v>
      </c>
      <c r="CA17" s="74">
        <f t="shared" si="9"/>
        <v>0.40661949413737108</v>
      </c>
      <c r="CB17" s="74">
        <f t="shared" si="9"/>
        <v>0.42172030956449763</v>
      </c>
      <c r="CC17" s="74">
        <f t="shared" si="9"/>
        <v>0.4145525982138521</v>
      </c>
      <c r="CD17" s="74">
        <f t="shared" si="9"/>
        <v>0.47861655239454143</v>
      </c>
      <c r="CE17" s="74">
        <f t="shared" si="9"/>
        <v>0.47263270593711332</v>
      </c>
      <c r="CF17" s="74">
        <f t="shared" si="9"/>
        <v>0.47929876687027384</v>
      </c>
      <c r="CG17" s="74">
        <f t="shared" si="9"/>
        <v>0.47538340281897679</v>
      </c>
      <c r="CH17" s="74">
        <f t="shared" si="9"/>
        <v>0.4742699416229923</v>
      </c>
      <c r="CI17" s="74">
        <f t="shared" si="9"/>
        <v>0.50437877134721121</v>
      </c>
      <c r="CJ17" s="74">
        <f t="shared" si="9"/>
        <v>0.50581217221627961</v>
      </c>
      <c r="CK17" s="74">
        <f t="shared" si="9"/>
        <v>0.52207077728150619</v>
      </c>
      <c r="CL17" s="74">
        <f t="shared" si="9"/>
        <v>0.52972257949888124</v>
      </c>
      <c r="CM17" s="74">
        <f t="shared" si="9"/>
        <v>0.52463809774468551</v>
      </c>
      <c r="CN17" s="74">
        <f t="shared" si="9"/>
        <v>0.53334909505114125</v>
      </c>
      <c r="CO17" s="74">
        <f t="shared" si="9"/>
        <v>0.51889899665988271</v>
      </c>
      <c r="CP17" s="74">
        <f t="shared" si="9"/>
        <v>0.51439755511906016</v>
      </c>
      <c r="CQ17" s="74">
        <f t="shared" si="9"/>
        <v>0.51751375851085746</v>
      </c>
      <c r="CR17" s="74">
        <f t="shared" si="9"/>
        <v>0.52891999438089521</v>
      </c>
      <c r="CS17" s="74">
        <f t="shared" si="9"/>
        <v>0.51269690291136782</v>
      </c>
      <c r="CT17" s="74">
        <f t="shared" si="9"/>
        <v>0.50664920922708157</v>
      </c>
      <c r="CU17" s="74">
        <f t="shared" si="9"/>
        <v>0.50882678052681829</v>
      </c>
      <c r="CV17" s="74">
        <f t="shared" si="9"/>
        <v>0.52149817698400769</v>
      </c>
      <c r="CW17" s="74">
        <f t="shared" si="9"/>
        <v>0.43842261427131318</v>
      </c>
      <c r="CX17" s="74">
        <f t="shared" si="9"/>
        <v>0.43256998601777669</v>
      </c>
      <c r="CY17" s="3"/>
    </row>
    <row r="18" spans="1:103" ht="12.75" customHeight="1">
      <c r="A18" s="113"/>
      <c r="E18" s="93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</row>
    <row r="19" spans="1:103" ht="14.25" customHeight="1">
      <c r="A19" s="113"/>
      <c r="E19" s="118" t="str">
        <f>'AsPc1 REPEAT Groups'!C6</f>
        <v>AsPc-1 - Control</v>
      </c>
      <c r="I19" s="118" t="str">
        <f>E19</f>
        <v>AsPc-1 - Control</v>
      </c>
      <c r="J19" s="318">
        <f>AVERAGEIF($E$5:$E$14,$E19,J$5:J$14)</f>
        <v>26.299999999999997</v>
      </c>
      <c r="K19" s="72" t="s">
        <v>9</v>
      </c>
      <c r="L19" s="78">
        <f t="shared" ref="L19:BD19" si="10">AVERAGEIF($E$5:$E$14,$E19,L$5:L$14)</f>
        <v>26.299999999999997</v>
      </c>
      <c r="M19" s="78">
        <f t="shared" si="10"/>
        <v>26.1</v>
      </c>
      <c r="N19" s="78">
        <f t="shared" si="10"/>
        <v>26.3</v>
      </c>
      <c r="O19" s="78">
        <f t="shared" si="10"/>
        <v>26.05</v>
      </c>
      <c r="P19" s="78">
        <f t="shared" si="10"/>
        <v>26.1</v>
      </c>
      <c r="Q19" s="78">
        <f t="shared" si="10"/>
        <v>25.450000000000003</v>
      </c>
      <c r="R19" s="78">
        <f t="shared" si="10"/>
        <v>25.9</v>
      </c>
      <c r="S19" s="78">
        <f t="shared" si="10"/>
        <v>26.8</v>
      </c>
      <c r="T19" s="78">
        <f t="shared" si="10"/>
        <v>26.15</v>
      </c>
      <c r="U19" s="78">
        <f t="shared" si="10"/>
        <v>26.950000000000003</v>
      </c>
      <c r="V19" s="78">
        <f t="shared" si="10"/>
        <v>26.6</v>
      </c>
      <c r="W19" s="78">
        <f t="shared" si="10"/>
        <v>25.35</v>
      </c>
      <c r="X19" s="78">
        <f t="shared" si="10"/>
        <v>25.6</v>
      </c>
      <c r="Y19" s="78">
        <f t="shared" si="10"/>
        <v>26.25</v>
      </c>
      <c r="Z19" s="78">
        <f t="shared" si="10"/>
        <v>26</v>
      </c>
      <c r="AA19" s="78">
        <f t="shared" si="10"/>
        <v>25.65</v>
      </c>
      <c r="AB19" s="78">
        <f t="shared" si="10"/>
        <v>26.4</v>
      </c>
      <c r="AC19" s="78">
        <f t="shared" si="10"/>
        <v>25.950000000000003</v>
      </c>
      <c r="AD19" s="78">
        <f t="shared" si="10"/>
        <v>26</v>
      </c>
      <c r="AE19" s="78">
        <f t="shared" si="10"/>
        <v>26.5</v>
      </c>
      <c r="AF19" s="78">
        <f t="shared" si="10"/>
        <v>26.7</v>
      </c>
      <c r="AG19" s="78">
        <f t="shared" si="10"/>
        <v>25.9</v>
      </c>
      <c r="AH19" s="78">
        <f t="shared" si="10"/>
        <v>26.8</v>
      </c>
      <c r="AI19" s="78">
        <f t="shared" si="10"/>
        <v>25.8</v>
      </c>
      <c r="AJ19" s="78" t="e">
        <f t="shared" si="10"/>
        <v>#DIV/0!</v>
      </c>
      <c r="AK19" s="78" t="e">
        <f t="shared" si="10"/>
        <v>#DIV/0!</v>
      </c>
      <c r="AL19" s="78" t="e">
        <f t="shared" si="10"/>
        <v>#DIV/0!</v>
      </c>
      <c r="AM19" s="78" t="e">
        <f t="shared" si="10"/>
        <v>#DIV/0!</v>
      </c>
      <c r="AN19" s="78" t="e">
        <f t="shared" si="10"/>
        <v>#DIV/0!</v>
      </c>
      <c r="AO19" s="78" t="e">
        <f t="shared" si="10"/>
        <v>#DIV/0!</v>
      </c>
      <c r="AP19" s="78" t="e">
        <f t="shared" si="10"/>
        <v>#DIV/0!</v>
      </c>
      <c r="AQ19" s="78" t="e">
        <f t="shared" si="10"/>
        <v>#DIV/0!</v>
      </c>
      <c r="AR19" s="78" t="e">
        <f t="shared" si="10"/>
        <v>#DIV/0!</v>
      </c>
      <c r="AS19" s="78" t="e">
        <f t="shared" si="10"/>
        <v>#DIV/0!</v>
      </c>
      <c r="AT19" s="78" t="e">
        <f t="shared" si="10"/>
        <v>#DIV/0!</v>
      </c>
      <c r="AU19" s="78" t="e">
        <f t="shared" si="10"/>
        <v>#DIV/0!</v>
      </c>
      <c r="AV19" s="78" t="e">
        <f t="shared" si="10"/>
        <v>#DIV/0!</v>
      </c>
      <c r="AW19" s="78" t="e">
        <f t="shared" si="10"/>
        <v>#DIV/0!</v>
      </c>
      <c r="AX19" s="78" t="e">
        <f t="shared" si="10"/>
        <v>#DIV/0!</v>
      </c>
      <c r="AY19" s="78" t="e">
        <f t="shared" si="10"/>
        <v>#DIV/0!</v>
      </c>
      <c r="AZ19" s="78" t="e">
        <f t="shared" si="10"/>
        <v>#DIV/0!</v>
      </c>
      <c r="BA19" s="78" t="e">
        <f t="shared" si="10"/>
        <v>#DIV/0!</v>
      </c>
      <c r="BB19" s="78" t="e">
        <f t="shared" si="10"/>
        <v>#DIV/0!</v>
      </c>
      <c r="BC19" s="78" t="e">
        <f t="shared" si="10"/>
        <v>#DIV/0!</v>
      </c>
      <c r="BD19" s="78" t="e">
        <f t="shared" si="10"/>
        <v>#DIV/0!</v>
      </c>
      <c r="BE19" s="103" t="s">
        <v>9</v>
      </c>
      <c r="BF19" s="73">
        <f t="shared" ref="BF19:CX19" si="11">AVERAGEIF($E$5:$E$14,$E19,BF$5:BF$14)</f>
        <v>1</v>
      </c>
      <c r="BG19" s="73">
        <f t="shared" si="11"/>
        <v>0.99227799227799229</v>
      </c>
      <c r="BH19" s="73">
        <f t="shared" si="11"/>
        <v>0.99982647173658412</v>
      </c>
      <c r="BI19" s="73">
        <f t="shared" si="11"/>
        <v>0.99011611932960253</v>
      </c>
      <c r="BJ19" s="73">
        <f t="shared" si="11"/>
        <v>0.99204662126010446</v>
      </c>
      <c r="BK19" s="73">
        <f t="shared" si="11"/>
        <v>0.96723930993593932</v>
      </c>
      <c r="BL19" s="73">
        <f t="shared" si="11"/>
        <v>0.98432461353809675</v>
      </c>
      <c r="BM19" s="73">
        <f t="shared" si="11"/>
        <v>1.0183795352334679</v>
      </c>
      <c r="BN19" s="73">
        <f t="shared" si="11"/>
        <v>0.99391928043613442</v>
      </c>
      <c r="BO19" s="73">
        <f t="shared" si="11"/>
        <v>1.0245759403062775</v>
      </c>
      <c r="BP19" s="73">
        <f t="shared" si="11"/>
        <v>1.0112359550561798</v>
      </c>
      <c r="BQ19" s="73">
        <f t="shared" si="11"/>
        <v>0.96378320535623907</v>
      </c>
      <c r="BR19" s="73">
        <f t="shared" si="11"/>
        <v>0.97320434399086087</v>
      </c>
      <c r="BS19" s="73">
        <f t="shared" si="11"/>
        <v>0.99801165531502611</v>
      </c>
      <c r="BT19" s="73">
        <f t="shared" si="11"/>
        <v>0.98841698841698844</v>
      </c>
      <c r="BU19" s="73">
        <f t="shared" si="11"/>
        <v>0.97530837418477878</v>
      </c>
      <c r="BV19" s="73">
        <f t="shared" si="11"/>
        <v>1.0037453183520599</v>
      </c>
      <c r="BW19" s="73">
        <f t="shared" si="11"/>
        <v>0.98671785750437446</v>
      </c>
      <c r="BX19" s="73">
        <f t="shared" si="11"/>
        <v>1.0038610038610039</v>
      </c>
      <c r="BY19" s="73">
        <f t="shared" si="11"/>
        <v>1.0231660231660231</v>
      </c>
      <c r="BZ19" s="73">
        <f t="shared" si="11"/>
        <v>1.0308880308880308</v>
      </c>
      <c r="CA19" s="73">
        <f t="shared" si="11"/>
        <v>1</v>
      </c>
      <c r="CB19" s="73">
        <f t="shared" si="11"/>
        <v>1.0347490347490349</v>
      </c>
      <c r="CC19" s="73">
        <f t="shared" si="11"/>
        <v>0.99613899613899626</v>
      </c>
      <c r="CD19" s="73" t="e">
        <f t="shared" si="11"/>
        <v>#DIV/0!</v>
      </c>
      <c r="CE19" s="73" t="e">
        <f t="shared" si="11"/>
        <v>#DIV/0!</v>
      </c>
      <c r="CF19" s="73" t="e">
        <f t="shared" si="11"/>
        <v>#DIV/0!</v>
      </c>
      <c r="CG19" s="73" t="e">
        <f t="shared" si="11"/>
        <v>#DIV/0!</v>
      </c>
      <c r="CH19" s="73" t="e">
        <f t="shared" si="11"/>
        <v>#DIV/0!</v>
      </c>
      <c r="CI19" s="73" t="e">
        <f t="shared" si="11"/>
        <v>#DIV/0!</v>
      </c>
      <c r="CJ19" s="73" t="e">
        <f t="shared" si="11"/>
        <v>#DIV/0!</v>
      </c>
      <c r="CK19" s="73" t="e">
        <f t="shared" si="11"/>
        <v>#DIV/0!</v>
      </c>
      <c r="CL19" s="73" t="e">
        <f t="shared" si="11"/>
        <v>#DIV/0!</v>
      </c>
      <c r="CM19" s="73" t="e">
        <f t="shared" si="11"/>
        <v>#DIV/0!</v>
      </c>
      <c r="CN19" s="73" t="e">
        <f t="shared" si="11"/>
        <v>#DIV/0!</v>
      </c>
      <c r="CO19" s="73" t="e">
        <f t="shared" si="11"/>
        <v>#DIV/0!</v>
      </c>
      <c r="CP19" s="73" t="e">
        <f t="shared" si="11"/>
        <v>#DIV/0!</v>
      </c>
      <c r="CQ19" s="73" t="e">
        <f t="shared" si="11"/>
        <v>#DIV/0!</v>
      </c>
      <c r="CR19" s="73" t="e">
        <f t="shared" si="11"/>
        <v>#DIV/0!</v>
      </c>
      <c r="CS19" s="73" t="e">
        <f t="shared" si="11"/>
        <v>#DIV/0!</v>
      </c>
      <c r="CT19" s="73" t="e">
        <f t="shared" si="11"/>
        <v>#DIV/0!</v>
      </c>
      <c r="CU19" s="73" t="e">
        <f t="shared" si="11"/>
        <v>#DIV/0!</v>
      </c>
      <c r="CV19" s="73" t="e">
        <f t="shared" si="11"/>
        <v>#DIV/0!</v>
      </c>
      <c r="CW19" s="73" t="e">
        <f t="shared" si="11"/>
        <v>#DIV/0!</v>
      </c>
      <c r="CX19" s="73" t="e">
        <f t="shared" si="11"/>
        <v>#DIV/0!</v>
      </c>
      <c r="CY19" s="76"/>
    </row>
    <row r="20" spans="1:103" ht="14.25" customHeight="1">
      <c r="A20" s="113"/>
      <c r="E20" s="118"/>
      <c r="I20" s="93"/>
      <c r="J20" s="318">
        <f t="array" ref="J20">_xlfn.STDEV.P(IF($E$5:$E$14=$E19,J$5:J$14))</f>
        <v>0.40000000000000036</v>
      </c>
      <c r="K20" s="72" t="s">
        <v>11</v>
      </c>
      <c r="L20" s="81">
        <f t="array" ref="L20">_xlfn.STDEV.P(IF($E$5:$E$14=$E19,L$5:L$14))</f>
        <v>0.40000000000000036</v>
      </c>
      <c r="M20" s="81">
        <f t="array" ref="M20">_xlfn.STDEV.P(IF($E$5:$E$14=$E19,M$5:M$14))</f>
        <v>0.59999999999999964</v>
      </c>
      <c r="N20" s="81">
        <f t="array" ref="N20">_xlfn.STDEV.P(IF($E$5:$E$14=$E19,N$5:N$14))</f>
        <v>0.69999999999999929</v>
      </c>
      <c r="O20" s="81">
        <f t="array" ref="O20">_xlfn.STDEV.P(IF($E$5:$E$14=$E19,O$5:O$14))</f>
        <v>1.0500000000000007</v>
      </c>
      <c r="P20" s="81">
        <f t="array" ref="P20">_xlfn.STDEV.P(IF($E$5:$E$14=$E19,P$5:P$14))</f>
        <v>1</v>
      </c>
      <c r="Q20" s="81">
        <f t="array" ref="Q20">_xlfn.STDEV.P(IF($E$5:$E$14=$E19,Q$5:Q$14))</f>
        <v>1.1500000000000004</v>
      </c>
      <c r="R20" s="81">
        <f t="array" ref="R20">_xlfn.STDEV.P(IF($E$5:$E$14=$E19,R$5:R$14))</f>
        <v>1.2000000000000011</v>
      </c>
      <c r="S20" s="81">
        <f t="array" ref="S20">_xlfn.STDEV.P(IF($E$5:$E$14=$E19,S$5:S$14))</f>
        <v>1.5</v>
      </c>
      <c r="T20" s="81">
        <f t="array" ref="T20">_xlfn.STDEV.P(IF($E$5:$E$14=$E19,T$5:T$14))</f>
        <v>1.0499999999999989</v>
      </c>
      <c r="U20" s="81">
        <f t="array" ref="U20">_xlfn.STDEV.P(IF($E$5:$E$14=$E19,U$5:U$14))</f>
        <v>0.65000000000000036</v>
      </c>
      <c r="V20" s="81">
        <f t="array" ref="V20">_xlfn.STDEV.P(IF($E$5:$E$14=$E19,V$5:V$14))</f>
        <v>0.70000000000000107</v>
      </c>
      <c r="W20" s="81">
        <f t="array" ref="W20">_xlfn.STDEV.P(IF($E$5:$E$14=$E19,W$5:W$14))</f>
        <v>0.54999999999999893</v>
      </c>
      <c r="X20" s="81">
        <f t="array" ref="X20">_xlfn.STDEV.P(IF($E$5:$E$14=$E19,X$5:X$14))</f>
        <v>0.70000000000000107</v>
      </c>
      <c r="Y20" s="81">
        <f t="array" ref="Y20">_xlfn.STDEV.P(IF($E$5:$E$14=$E19,Y$5:Y$14))</f>
        <v>0.55000000000000071</v>
      </c>
      <c r="Z20" s="81">
        <f t="array" ref="Z20">_xlfn.STDEV.P(IF($E$5:$E$14=$E19,Z$5:Z$14))</f>
        <v>0.69999999999999929</v>
      </c>
      <c r="AA20" s="81">
        <f t="array" ref="AA20">_xlfn.STDEV.P(IF($E$5:$E$14=$E19,AA$5:AA$14))</f>
        <v>0.34999999999999964</v>
      </c>
      <c r="AB20" s="81">
        <f t="array" ref="AB20">_xlfn.STDEV.P(IF($E$5:$E$14=$E19,AB$5:AB$14))</f>
        <v>0.5</v>
      </c>
      <c r="AC20" s="81">
        <f t="array" ref="AC20">_xlfn.STDEV.P(IF($E$5:$E$14=$E19,AC$5:AC$14))</f>
        <v>0.34999999999999964</v>
      </c>
      <c r="AD20" s="81">
        <f t="array" ref="AD20">_xlfn.STDEV.P(IF($E$5:$E$14=$E19,AD$5:AD$14))</f>
        <v>13</v>
      </c>
      <c r="AE20" s="81">
        <f t="array" ref="AE20">_xlfn.STDEV.P(IF($E$5:$E$14=$E19,AE$5:AE$14))</f>
        <v>13.25</v>
      </c>
      <c r="AF20" s="81">
        <f t="array" ref="AF20">_xlfn.STDEV.P(IF($E$5:$E$14=$E19,AF$5:AF$14))</f>
        <v>13.35</v>
      </c>
      <c r="AG20" s="81">
        <f t="array" ref="AG20">_xlfn.STDEV.P(IF($E$5:$E$14=$E19,AG$5:AG$14))</f>
        <v>12.95</v>
      </c>
      <c r="AH20" s="81">
        <f t="array" ref="AH20">_xlfn.STDEV.P(IF($E$5:$E$14=$E19,AH$5:AH$14))</f>
        <v>13.4</v>
      </c>
      <c r="AI20" s="81">
        <f t="array" ref="AI20">_xlfn.STDEV.P(IF($E$5:$E$14=$E19,AI$5:AI$14))</f>
        <v>12.9</v>
      </c>
      <c r="AJ20" s="81">
        <f t="array" ref="AJ20">_xlfn.STDEV.P(IF($E$5:$E$14=$E19,AJ$5:AJ$14))</f>
        <v>0</v>
      </c>
      <c r="AK20" s="81">
        <f t="array" ref="AK20">_xlfn.STDEV.P(IF($E$5:$E$14=$E19,AK$5:AK$14))</f>
        <v>0</v>
      </c>
      <c r="AL20" s="81">
        <f t="array" ref="AL20">_xlfn.STDEV.P(IF($E$5:$E$14=$E19,AL$5:AL$14))</f>
        <v>0</v>
      </c>
      <c r="AM20" s="81">
        <f t="array" ref="AM20">_xlfn.STDEV.P(IF($E$5:$E$14=$E19,AM$5:AM$14))</f>
        <v>0</v>
      </c>
      <c r="AN20" s="81">
        <f t="array" ref="AN20">_xlfn.STDEV.P(IF($E$5:$E$14=$E19,AN$5:AN$14))</f>
        <v>0</v>
      </c>
      <c r="AO20" s="81">
        <f t="array" ref="AO20">_xlfn.STDEV.P(IF($E$5:$E$14=$E19,AO$5:AO$14))</f>
        <v>0</v>
      </c>
      <c r="AP20" s="81">
        <f t="array" ref="AP20">_xlfn.STDEV.P(IF($E$5:$E$14=$E19,AP$5:AP$14))</f>
        <v>0</v>
      </c>
      <c r="AQ20" s="81">
        <f t="array" ref="AQ20">_xlfn.STDEV.P(IF($E$5:$E$14=$E19,AQ$5:AQ$14))</f>
        <v>0</v>
      </c>
      <c r="AR20" s="81">
        <f t="array" ref="AR20">_xlfn.STDEV.P(IF($E$5:$E$14=$E19,AR$5:AR$14))</f>
        <v>0</v>
      </c>
      <c r="AS20" s="81">
        <f t="array" ref="AS20">_xlfn.STDEV.P(IF($E$5:$E$14=$E19,AS$5:AS$14))</f>
        <v>0</v>
      </c>
      <c r="AT20" s="81">
        <f t="array" ref="AT20">_xlfn.STDEV.P(IF($E$5:$E$14=$E19,AT$5:AT$14))</f>
        <v>0</v>
      </c>
      <c r="AU20" s="81">
        <f t="array" ref="AU20">_xlfn.STDEV.P(IF($E$5:$E$14=$E19,AU$5:AU$14))</f>
        <v>0</v>
      </c>
      <c r="AV20" s="81">
        <f t="array" ref="AV20">_xlfn.STDEV.P(IF($E$5:$E$14=$E19,AV$5:AV$14))</f>
        <v>0</v>
      </c>
      <c r="AW20" s="81">
        <f t="array" ref="AW20">_xlfn.STDEV.P(IF($E$5:$E$14=$E19,AW$5:AW$14))</f>
        <v>0</v>
      </c>
      <c r="AX20" s="81">
        <f t="array" ref="AX20">_xlfn.STDEV.P(IF($E$5:$E$14=$E19,AX$5:AX$14))</f>
        <v>0</v>
      </c>
      <c r="AY20" s="81">
        <f t="array" ref="AY20">_xlfn.STDEV.P(IF($E$5:$E$14=$E19,AY$5:AY$14))</f>
        <v>0</v>
      </c>
      <c r="AZ20" s="81">
        <f t="array" ref="AZ20">_xlfn.STDEV.P(IF($E$5:$E$14=$E19,AZ$5:AZ$14))</f>
        <v>0</v>
      </c>
      <c r="BA20" s="81">
        <f t="array" ref="BA20">_xlfn.STDEV.P(IF($E$5:$E$14=$E19,BA$5:BA$14))</f>
        <v>0</v>
      </c>
      <c r="BB20" s="81">
        <f t="array" ref="BB20">_xlfn.STDEV.P(IF($E$5:$E$14=$E19,BB$5:BB$14))</f>
        <v>0</v>
      </c>
      <c r="BC20" s="81">
        <f t="array" ref="BC20">_xlfn.STDEV.P(IF($E$5:$E$14=$E19,BC$5:BC$14))</f>
        <v>0</v>
      </c>
      <c r="BD20" s="81">
        <f t="array" ref="BD20">_xlfn.STDEV.P(IF($E$5:$E$14=$E19,BD$5:BD$14))</f>
        <v>0</v>
      </c>
      <c r="BE20" s="104" t="s">
        <v>11</v>
      </c>
      <c r="BF20" s="74">
        <f t="array" ref="BF20">_xlfn.STDEV.P(IF($E$5:$E$14=$E19,BF$5:BF$14))</f>
        <v>0</v>
      </c>
      <c r="BG20" s="74">
        <f t="array" ref="BG20">_xlfn.STDEV.P(IF($E$5:$E$14=$E19,BG$5:BG$14))</f>
        <v>7.7220077220077066E-3</v>
      </c>
      <c r="BH20" s="74">
        <f t="array" ref="BH20">_xlfn.STDEV.P(IF($E$5:$E$14=$E19,BH$5:BH$14))</f>
        <v>1.1409483319595626E-2</v>
      </c>
      <c r="BI20" s="74">
        <f t="array" ref="BI20">_xlfn.STDEV.P(IF($E$5:$E$14=$E19,BI$5:BI$14))</f>
        <v>2.4865154078637208E-2</v>
      </c>
      <c r="BJ20" s="74">
        <f t="array" ref="BJ20">_xlfn.STDEV.P(IF($E$5:$E$14=$E19,BJ$5:BJ$14))</f>
        <v>2.2934652148135282E-2</v>
      </c>
      <c r="BK20" s="74">
        <f t="array" ref="BK20">_xlfn.STDEV.P(IF($E$5:$E$14=$E19,BK$5:BK$14))</f>
        <v>2.9015371712000915E-2</v>
      </c>
      <c r="BL20" s="74">
        <f t="array" ref="BL20">_xlfn.STDEV.P(IF($E$5:$E$14=$E19,BL$5:BL$14))</f>
        <v>3.0656659870143044E-2</v>
      </c>
      <c r="BM20" s="74">
        <f t="array" ref="BM20">_xlfn.STDEV.P(IF($E$5:$E$14=$E19,BM$5:BM$14))</f>
        <v>4.1545558399491034E-2</v>
      </c>
      <c r="BN20" s="74">
        <f t="array" ref="BN20">_xlfn.STDEV.P(IF($E$5:$E$14=$E19,BN$5:BN$14))</f>
        <v>2.4807311324165249E-2</v>
      </c>
      <c r="BO20" s="74">
        <f t="array" ref="BO20">_xlfn.STDEV.P(IF($E$5:$E$14=$E19,BO$5:BO$14))</f>
        <v>9.1319248622618865E-3</v>
      </c>
      <c r="BP20" s="74">
        <f t="array" ref="BP20">_xlfn.STDEV.P(IF($E$5:$E$14=$E19,BP$5:BP$14))</f>
        <v>1.1235955056179803E-2</v>
      </c>
      <c r="BQ20" s="74">
        <f t="array" ref="BQ20">_xlfn.STDEV.P(IF($E$5:$E$14=$E19,BQ$5:BQ$14))</f>
        <v>6.2542478272814561E-3</v>
      </c>
      <c r="BR20" s="74">
        <f t="array" ref="BR20">_xlfn.STDEV.P(IF($E$5:$E$14=$E19,BR$5:BR$14))</f>
        <v>1.1814382600899509E-2</v>
      </c>
      <c r="BS20" s="74">
        <f t="array" ref="BS20">_xlfn.STDEV.P(IF($E$5:$E$14=$E19,BS$5:BS$14))</f>
        <v>5.7336630370338204E-3</v>
      </c>
      <c r="BT20" s="74">
        <f t="array" ref="BT20">_xlfn.STDEV.P(IF($E$5:$E$14=$E19,BT$5:BT$14))</f>
        <v>1.158301158301156E-2</v>
      </c>
      <c r="BU20" s="74">
        <f t="array" ref="BU20">_xlfn.STDEV.P(IF($E$5:$E$14=$E19,BU$5:BU$14))</f>
        <v>1.5256026491981545E-3</v>
      </c>
      <c r="BV20" s="74">
        <f t="array" ref="BV20">_xlfn.STDEV.P(IF($E$5:$E$14=$E19,BV$5:BV$14))</f>
        <v>3.7453183520599342E-3</v>
      </c>
      <c r="BW20" s="74">
        <f t="array" ref="BW20">_xlfn.STDEV.P(IF($E$5:$E$14=$E19,BW$5:BW$14))</f>
        <v>1.6991309126140886E-3</v>
      </c>
      <c r="BX20" s="74">
        <f t="array" ref="BX20">_xlfn.STDEV.P(IF($E$5:$E$14=$E19,BX$5:BX$14))</f>
        <v>0</v>
      </c>
      <c r="BY20" s="74">
        <f t="array" ref="BY20">_xlfn.STDEV.P(IF($E$5:$E$14=$E19,BY$5:BY$14))</f>
        <v>0</v>
      </c>
      <c r="BZ20" s="74">
        <f t="array" ref="BZ20">_xlfn.STDEV.P(IF($E$5:$E$14=$E19,BZ$5:BZ$14))</f>
        <v>0</v>
      </c>
      <c r="CA20" s="74">
        <f t="array" ref="CA20">_xlfn.STDEV.P(IF($E$5:$E$14=$E19,CA$5:CA$14))</f>
        <v>0</v>
      </c>
      <c r="CB20" s="74">
        <f t="array" ref="CB20">_xlfn.STDEV.P(IF($E$5:$E$14=$E19,CB$5:CB$14))</f>
        <v>0</v>
      </c>
      <c r="CC20" s="74">
        <f t="array" ref="CC20">_xlfn.STDEV.P(IF($E$5:$E$14=$E19,CC$5:CC$14))</f>
        <v>0</v>
      </c>
      <c r="CD20" s="74" t="e">
        <f t="array" ref="CD20">_xlfn.STDEV.P(IF($E$5:$E$14=$E19,CD$5:CD$14))</f>
        <v>#DIV/0!</v>
      </c>
      <c r="CE20" s="74" t="e">
        <f t="array" ref="CE20">_xlfn.STDEV.P(IF($E$5:$E$14=$E19,CE$5:CE$14))</f>
        <v>#DIV/0!</v>
      </c>
      <c r="CF20" s="74" t="e">
        <f t="array" ref="CF20">_xlfn.STDEV.P(IF($E$5:$E$14=$E19,CF$5:CF$14))</f>
        <v>#DIV/0!</v>
      </c>
      <c r="CG20" s="74" t="e">
        <f t="array" ref="CG20">_xlfn.STDEV.P(IF($E$5:$E$14=$E19,CG$5:CG$14))</f>
        <v>#DIV/0!</v>
      </c>
      <c r="CH20" s="74" t="e">
        <f t="array" ref="CH20">_xlfn.STDEV.P(IF($E$5:$E$14=$E19,CH$5:CH$14))</f>
        <v>#DIV/0!</v>
      </c>
      <c r="CI20" s="74" t="e">
        <f t="array" ref="CI20">_xlfn.STDEV.P(IF($E$5:$E$14=$E19,CI$5:CI$14))</f>
        <v>#DIV/0!</v>
      </c>
      <c r="CJ20" s="74" t="e">
        <f t="array" ref="CJ20">_xlfn.STDEV.P(IF($E$5:$E$14=$E19,CJ$5:CJ$14))</f>
        <v>#DIV/0!</v>
      </c>
      <c r="CK20" s="74" t="e">
        <f t="array" ref="CK20">_xlfn.STDEV.P(IF($E$5:$E$14=$E19,CK$5:CK$14))</f>
        <v>#DIV/0!</v>
      </c>
      <c r="CL20" s="74" t="e">
        <f t="array" ref="CL20">_xlfn.STDEV.P(IF($E$5:$E$14=$E19,CL$5:CL$14))</f>
        <v>#DIV/0!</v>
      </c>
      <c r="CM20" s="74" t="e">
        <f t="array" ref="CM20">_xlfn.STDEV.P(IF($E$5:$E$14=$E19,CM$5:CM$14))</f>
        <v>#DIV/0!</v>
      </c>
      <c r="CN20" s="74" t="e">
        <f t="array" ref="CN20">_xlfn.STDEV.P(IF($E$5:$E$14=$E19,CN$5:CN$14))</f>
        <v>#DIV/0!</v>
      </c>
      <c r="CO20" s="74" t="e">
        <f t="array" ref="CO20">_xlfn.STDEV.P(IF($E$5:$E$14=$E19,CO$5:CO$14))</f>
        <v>#DIV/0!</v>
      </c>
      <c r="CP20" s="74" t="e">
        <f t="array" ref="CP20">_xlfn.STDEV.P(IF($E$5:$E$14=$E19,CP$5:CP$14))</f>
        <v>#DIV/0!</v>
      </c>
      <c r="CQ20" s="74" t="e">
        <f t="array" ref="CQ20">_xlfn.STDEV.P(IF($E$5:$E$14=$E19,CQ$5:CQ$14))</f>
        <v>#DIV/0!</v>
      </c>
      <c r="CR20" s="74" t="e">
        <f t="array" ref="CR20">_xlfn.STDEV.P(IF($E$5:$E$14=$E19,CR$5:CR$14))</f>
        <v>#DIV/0!</v>
      </c>
      <c r="CS20" s="74" t="e">
        <f t="array" ref="CS20">_xlfn.STDEV.P(IF($E$5:$E$14=$E19,CS$5:CS$14))</f>
        <v>#DIV/0!</v>
      </c>
      <c r="CT20" s="74" t="e">
        <f t="array" ref="CT20">_xlfn.STDEV.P(IF($E$5:$E$14=$E19,CT$5:CT$14))</f>
        <v>#DIV/0!</v>
      </c>
      <c r="CU20" s="74" t="e">
        <f t="array" ref="CU20">_xlfn.STDEV.P(IF($E$5:$E$14=$E19,CU$5:CU$14))</f>
        <v>#DIV/0!</v>
      </c>
      <c r="CV20" s="74" t="e">
        <f t="array" ref="CV20">_xlfn.STDEV.P(IF($E$5:$E$14=$E19,CV$5:CV$14))</f>
        <v>#DIV/0!</v>
      </c>
      <c r="CW20" s="74" t="e">
        <f t="array" ref="CW20">_xlfn.STDEV.P(IF($E$5:$E$14=$E19,CW$5:CW$14))</f>
        <v>#DIV/0!</v>
      </c>
      <c r="CX20" s="74" t="e">
        <f t="array" ref="CX20">_xlfn.STDEV.P(IF($E$5:$E$14=$E19,CX$5:CX$14))</f>
        <v>#DIV/0!</v>
      </c>
      <c r="CY20" s="76"/>
    </row>
    <row r="21" spans="1:103" ht="15">
      <c r="A21" s="113"/>
      <c r="E21" s="118"/>
      <c r="I21" s="52"/>
    </row>
    <row r="22" spans="1:103" ht="14.25" customHeight="1">
      <c r="A22" s="113"/>
      <c r="E22" s="118" t="str">
        <f>'AsPc1 REPEAT Groups'!C7</f>
        <v>AsPc-1 - CP-PTX Combo</v>
      </c>
      <c r="I22" s="118" t="str">
        <f>E22</f>
        <v>AsPc-1 - CP-PTX Combo</v>
      </c>
      <c r="J22" s="318">
        <f>AVERAGEIF($E$5:$E$14,$E22,J$5:J$14)</f>
        <v>29.471428571428568</v>
      </c>
      <c r="K22" s="72" t="s">
        <v>9</v>
      </c>
      <c r="L22" s="78">
        <f t="shared" ref="L22:BD22" si="12">AVERAGEIF($E$5:$E$14,$E22,L$5:L$14)</f>
        <v>29.471428571428568</v>
      </c>
      <c r="M22" s="78">
        <f t="shared" si="12"/>
        <v>27.942857142857143</v>
      </c>
      <c r="N22" s="78">
        <f t="shared" si="12"/>
        <v>28.271428571428569</v>
      </c>
      <c r="O22" s="78">
        <f t="shared" si="12"/>
        <v>28.142857142857139</v>
      </c>
      <c r="P22" s="78">
        <f t="shared" si="12"/>
        <v>28.342857142857138</v>
      </c>
      <c r="Q22" s="78">
        <f t="shared" si="12"/>
        <v>27.257142857142856</v>
      </c>
      <c r="R22" s="78">
        <f t="shared" si="12"/>
        <v>28.057142857142857</v>
      </c>
      <c r="S22" s="78">
        <f t="shared" si="12"/>
        <v>28.571428571428573</v>
      </c>
      <c r="T22" s="78">
        <f t="shared" si="12"/>
        <v>27.971428571428572</v>
      </c>
      <c r="U22" s="78">
        <f t="shared" si="12"/>
        <v>29.014285714285712</v>
      </c>
      <c r="V22" s="78">
        <f t="shared" si="12"/>
        <v>28.62857142857143</v>
      </c>
      <c r="W22" s="78">
        <f t="shared" si="12"/>
        <v>27.771428571428572</v>
      </c>
      <c r="X22" s="78">
        <f t="shared" si="12"/>
        <v>28.142857142857142</v>
      </c>
      <c r="Y22" s="78">
        <f t="shared" si="12"/>
        <v>28.442857142857143</v>
      </c>
      <c r="Z22" s="78">
        <f t="shared" si="12"/>
        <v>28.028571428571428</v>
      </c>
      <c r="AA22" s="78">
        <f t="shared" si="12"/>
        <v>27.471428571428572</v>
      </c>
      <c r="AB22" s="78">
        <f t="shared" si="12"/>
        <v>28.185714285714287</v>
      </c>
      <c r="AC22" s="78">
        <f t="shared" si="12"/>
        <v>27.7</v>
      </c>
      <c r="AD22" s="78">
        <f t="shared" si="12"/>
        <v>28.12857142857143</v>
      </c>
      <c r="AE22" s="78">
        <f t="shared" si="12"/>
        <v>28.88571428571429</v>
      </c>
      <c r="AF22" s="78">
        <f t="shared" si="12"/>
        <v>28.62857142857143</v>
      </c>
      <c r="AG22" s="78">
        <f t="shared" si="12"/>
        <v>28.171428571428574</v>
      </c>
      <c r="AH22" s="78">
        <f t="shared" si="12"/>
        <v>29.25714285714286</v>
      </c>
      <c r="AI22" s="78">
        <f t="shared" si="12"/>
        <v>28.842857142857145</v>
      </c>
      <c r="AJ22" s="78">
        <f t="shared" si="12"/>
        <v>29.157142857142855</v>
      </c>
      <c r="AK22" s="78">
        <f t="shared" si="12"/>
        <v>28.8</v>
      </c>
      <c r="AL22" s="78">
        <f t="shared" si="12"/>
        <v>29.228571428571431</v>
      </c>
      <c r="AM22" s="78">
        <f t="shared" si="12"/>
        <v>28.985714285714288</v>
      </c>
      <c r="AN22" s="78">
        <f t="shared" si="12"/>
        <v>28.914285714285715</v>
      </c>
      <c r="AO22" s="78">
        <f t="shared" si="12"/>
        <v>28.316666666666674</v>
      </c>
      <c r="AP22" s="78">
        <f t="shared" si="12"/>
        <v>28.400000000000002</v>
      </c>
      <c r="AQ22" s="78">
        <f t="shared" si="12"/>
        <v>29.316666666666666</v>
      </c>
      <c r="AR22" s="78">
        <f t="shared" si="12"/>
        <v>29.733333333333334</v>
      </c>
      <c r="AS22" s="78">
        <f t="shared" si="12"/>
        <v>29.483333333333334</v>
      </c>
      <c r="AT22" s="78">
        <f t="shared" si="12"/>
        <v>29.5</v>
      </c>
      <c r="AU22" s="78">
        <f t="shared" si="12"/>
        <v>28.7</v>
      </c>
      <c r="AV22" s="78">
        <f t="shared" si="12"/>
        <v>28.424999999999997</v>
      </c>
      <c r="AW22" s="78">
        <f t="shared" si="12"/>
        <v>28.574999999999999</v>
      </c>
      <c r="AX22" s="78">
        <f t="shared" si="12"/>
        <v>29.200000000000003</v>
      </c>
      <c r="AY22" s="78">
        <f t="shared" si="12"/>
        <v>31.033333333333331</v>
      </c>
      <c r="AZ22" s="78">
        <f t="shared" si="12"/>
        <v>30.666666666666668</v>
      </c>
      <c r="BA22" s="78">
        <f t="shared" si="12"/>
        <v>30.8</v>
      </c>
      <c r="BB22" s="78">
        <f t="shared" si="12"/>
        <v>31.566666666666663</v>
      </c>
      <c r="BC22" s="78">
        <f t="shared" si="12"/>
        <v>29.950000000000003</v>
      </c>
      <c r="BD22" s="78">
        <f t="shared" si="12"/>
        <v>29.55</v>
      </c>
      <c r="BE22" s="103" t="s">
        <v>9</v>
      </c>
      <c r="BF22" s="73">
        <f t="shared" ref="BF22:CX22" si="13">AVERAGEIF($E$5:$E$14,$E22,BF$5:BF$14)</f>
        <v>1</v>
      </c>
      <c r="BG22" s="73">
        <f t="shared" si="13"/>
        <v>0.94867318530312772</v>
      </c>
      <c r="BH22" s="73">
        <f t="shared" si="13"/>
        <v>0.95989478709414722</v>
      </c>
      <c r="BI22" s="73">
        <f t="shared" si="13"/>
        <v>0.95514859883143266</v>
      </c>
      <c r="BJ22" s="73">
        <f t="shared" si="13"/>
        <v>0.96170706416799057</v>
      </c>
      <c r="BK22" s="73">
        <f t="shared" si="13"/>
        <v>0.92464121453453407</v>
      </c>
      <c r="BL22" s="73">
        <f t="shared" si="13"/>
        <v>0.9521431780084868</v>
      </c>
      <c r="BM22" s="73">
        <f t="shared" si="13"/>
        <v>0.96940161112744028</v>
      </c>
      <c r="BN22" s="73">
        <f t="shared" si="13"/>
        <v>0.94877618142701381</v>
      </c>
      <c r="BO22" s="73">
        <f t="shared" si="13"/>
        <v>0.9845896236525572</v>
      </c>
      <c r="BP22" s="73">
        <f t="shared" si="13"/>
        <v>0.97142270458558222</v>
      </c>
      <c r="BQ22" s="73">
        <f t="shared" si="13"/>
        <v>0.9426775204253881</v>
      </c>
      <c r="BR22" s="73">
        <f t="shared" si="13"/>
        <v>0.95493099262404701</v>
      </c>
      <c r="BS22" s="73">
        <f t="shared" si="13"/>
        <v>0.96481115217064595</v>
      </c>
      <c r="BT22" s="73">
        <f t="shared" si="13"/>
        <v>0.95072737778674998</v>
      </c>
      <c r="BU22" s="73">
        <f t="shared" si="13"/>
        <v>0.93169537402327762</v>
      </c>
      <c r="BV22" s="73">
        <f t="shared" si="13"/>
        <v>0.95581280290171067</v>
      </c>
      <c r="BW22" s="73">
        <f t="shared" si="13"/>
        <v>0.93915952184706863</v>
      </c>
      <c r="BX22" s="73">
        <f t="shared" si="13"/>
        <v>0.95376569140163647</v>
      </c>
      <c r="BY22" s="73">
        <f t="shared" si="13"/>
        <v>0.97969014072490446</v>
      </c>
      <c r="BZ22" s="73">
        <f t="shared" si="13"/>
        <v>0.97085243581938274</v>
      </c>
      <c r="CA22" s="73">
        <f t="shared" si="13"/>
        <v>0.9558086426162139</v>
      </c>
      <c r="CB22" s="73">
        <f t="shared" si="13"/>
        <v>0.99280074509541072</v>
      </c>
      <c r="CC22" s="73">
        <f t="shared" si="13"/>
        <v>0.97844682215588608</v>
      </c>
      <c r="CD22" s="73">
        <f t="shared" si="13"/>
        <v>0.98892911896754299</v>
      </c>
      <c r="CE22" s="73">
        <f t="shared" si="13"/>
        <v>0.97638172952176461</v>
      </c>
      <c r="CF22" s="73">
        <f t="shared" si="13"/>
        <v>0.99120580211208498</v>
      </c>
      <c r="CG22" s="73">
        <f t="shared" si="13"/>
        <v>0.98244362888963621</v>
      </c>
      <c r="CH22" s="73">
        <f t="shared" si="13"/>
        <v>0.98038204254010386</v>
      </c>
      <c r="CI22" s="73">
        <f t="shared" si="13"/>
        <v>0.9760325707050409</v>
      </c>
      <c r="CJ22" s="73">
        <f t="shared" si="13"/>
        <v>0.97864511048192082</v>
      </c>
      <c r="CK22" s="73">
        <f t="shared" si="13"/>
        <v>1.0100007667528792</v>
      </c>
      <c r="CL22" s="73">
        <f t="shared" si="13"/>
        <v>1.0247512582173401</v>
      </c>
      <c r="CM22" s="73">
        <f t="shared" si="13"/>
        <v>1.0153894935686003</v>
      </c>
      <c r="CN22" s="73">
        <f t="shared" si="13"/>
        <v>1.0325269692991532</v>
      </c>
      <c r="CO22" s="73">
        <f t="shared" si="13"/>
        <v>1.0032917691207497</v>
      </c>
      <c r="CP22" s="73">
        <f t="shared" si="13"/>
        <v>0.99271057323036582</v>
      </c>
      <c r="CQ22" s="73">
        <f t="shared" si="13"/>
        <v>0.99748465208041526</v>
      </c>
      <c r="CR22" s="73">
        <f t="shared" si="13"/>
        <v>1.0191462111972638</v>
      </c>
      <c r="CS22" s="73">
        <f t="shared" si="13"/>
        <v>1.0610994542606704</v>
      </c>
      <c r="CT22" s="73">
        <f t="shared" si="13"/>
        <v>1.0483241079965202</v>
      </c>
      <c r="CU22" s="73">
        <f t="shared" si="13"/>
        <v>1.0532368798129417</v>
      </c>
      <c r="CV22" s="73">
        <f t="shared" si="13"/>
        <v>1.0794727197579856</v>
      </c>
      <c r="CW22" s="73">
        <f t="shared" si="13"/>
        <v>1.0397315452429479</v>
      </c>
      <c r="CX22" s="73">
        <f t="shared" si="13"/>
        <v>1.0257178692458906</v>
      </c>
      <c r="CY22" s="76"/>
    </row>
    <row r="23" spans="1:103" ht="14.25" customHeight="1">
      <c r="A23" s="113"/>
      <c r="E23" s="118"/>
      <c r="I23" s="93"/>
      <c r="J23" s="318">
        <f t="array" ref="J23">_xlfn.STDEV.P(IF($E$5:$E$14=$E22,J$5:J$14))</f>
        <v>1.6636571467825989</v>
      </c>
      <c r="K23" s="72" t="s">
        <v>11</v>
      </c>
      <c r="L23" s="81">
        <f t="array" ref="L23">_xlfn.STDEV.P(IF($E$5:$E$14=$E22,L$5:L$14))</f>
        <v>1.6636571467825989</v>
      </c>
      <c r="M23" s="81">
        <f t="array" ref="M23">_xlfn.STDEV.P(IF($E$5:$E$14=$E22,M$5:M$14))</f>
        <v>1.4191115357928734</v>
      </c>
      <c r="N23" s="81">
        <f t="array" ref="N23">_xlfn.STDEV.P(IF($E$5:$E$14=$E22,N$5:N$14))</f>
        <v>1.4508266468409221</v>
      </c>
      <c r="O23" s="81">
        <f t="array" ref="O23">_xlfn.STDEV.P(IF($E$5:$E$14=$E22,O$5:O$14))</f>
        <v>1.558256482516958</v>
      </c>
      <c r="P23" s="81">
        <f t="array" ref="P23">_xlfn.STDEV.P(IF($E$5:$E$14=$E22,P$5:P$14))</f>
        <v>1.6893423427536551</v>
      </c>
      <c r="Q23" s="81">
        <f t="array" ref="Q23">_xlfn.STDEV.P(IF($E$5:$E$14=$E22,Q$5:Q$14))</f>
        <v>1.8211904606266613</v>
      </c>
      <c r="R23" s="81">
        <f t="array" ref="R23">_xlfn.STDEV.P(IF($E$5:$E$14=$E22,R$5:R$14))</f>
        <v>1.5882219553928338</v>
      </c>
      <c r="S23" s="81">
        <f t="array" ref="S23">_xlfn.STDEV.P(IF($E$5:$E$14=$E22,S$5:S$14))</f>
        <v>1.7547602894610392</v>
      </c>
      <c r="T23" s="81">
        <f t="array" ref="T23">_xlfn.STDEV.P(IF($E$5:$E$14=$E22,T$5:T$14))</f>
        <v>1.8971514629753177</v>
      </c>
      <c r="U23" s="81">
        <f t="array" ref="U23">_xlfn.STDEV.P(IF($E$5:$E$14=$E22,U$5:U$14))</f>
        <v>1.6435402306593891</v>
      </c>
      <c r="V23" s="81">
        <f t="array" ref="V23">_xlfn.STDEV.P(IF($E$5:$E$14=$E22,V$5:V$14))</f>
        <v>1.7135712796998681</v>
      </c>
      <c r="W23" s="81">
        <f t="array" ref="W23">_xlfn.STDEV.P(IF($E$5:$E$14=$E22,W$5:W$14))</f>
        <v>1.5275697652660916</v>
      </c>
      <c r="X23" s="81">
        <f t="array" ref="X23">_xlfn.STDEV.P(IF($E$5:$E$14=$E22,X$5:X$14))</f>
        <v>1.7775240748678178</v>
      </c>
      <c r="Y23" s="81">
        <f t="array" ref="Y23">_xlfn.STDEV.P(IF($E$5:$E$14=$E22,Y$5:Y$14))</f>
        <v>1.8523013815692266</v>
      </c>
      <c r="Z23" s="81">
        <f t="array" ref="Z23">_xlfn.STDEV.P(IF($E$5:$E$14=$E22,Z$5:Z$14))</f>
        <v>1.8926280184776225</v>
      </c>
      <c r="AA23" s="81">
        <f t="array" ref="AA23">_xlfn.STDEV.P(IF($E$5:$E$14=$E22,AA$5:AA$14))</f>
        <v>1.9447469800276156</v>
      </c>
      <c r="AB23" s="81">
        <f t="array" ref="AB23">_xlfn.STDEV.P(IF($E$5:$E$14=$E22,AB$5:AB$14))</f>
        <v>2.0300799220217702</v>
      </c>
      <c r="AC23" s="81">
        <f t="array" ref="AC23">_xlfn.STDEV.P(IF($E$5:$E$14=$E22,AC$5:AC$14))</f>
        <v>2.0798351583032448</v>
      </c>
      <c r="AD23" s="81">
        <f t="array" ref="AD23">_xlfn.STDEV.P(IF($E$5:$E$14=$E22,AD$5:AD$14))</f>
        <v>2.0741361614721754</v>
      </c>
      <c r="AE23" s="81">
        <f t="array" ref="AE23">_xlfn.STDEV.P(IF($E$5:$E$14=$E22,AE$5:AE$14))</f>
        <v>1.9729807554115901</v>
      </c>
      <c r="AF23" s="81">
        <f t="array" ref="AF23">_xlfn.STDEV.P(IF($E$5:$E$14=$E22,AF$5:AF$14))</f>
        <v>2.0748248020456259</v>
      </c>
      <c r="AG23" s="81">
        <f t="array" ref="AG23">_xlfn.STDEV.P(IF($E$5:$E$14=$E22,AG$5:AG$14))</f>
        <v>1.9403344967256735</v>
      </c>
      <c r="AH23" s="81">
        <f t="array" ref="AH23">_xlfn.STDEV.P(IF($E$5:$E$14=$E22,AH$5:AH$14))</f>
        <v>1.8406964076963155</v>
      </c>
      <c r="AI23" s="81">
        <f t="array" ref="AI23">_xlfn.STDEV.P(IF($E$5:$E$14=$E22,AI$5:AI$14))</f>
        <v>2.0444050079998073</v>
      </c>
      <c r="AJ23" s="81">
        <f t="array" ref="AJ23">_xlfn.STDEV.P(IF($E$5:$E$14=$E22,AJ$5:AJ$14))</f>
        <v>2.1506524876067221</v>
      </c>
      <c r="AK23" s="81">
        <f t="array" ref="AK23">_xlfn.STDEV.P(IF($E$5:$E$14=$E22,AK$5:AK$14))</f>
        <v>2.3176342617912291</v>
      </c>
      <c r="AL23" s="81">
        <f t="array" ref="AL23">_xlfn.STDEV.P(IF($E$5:$E$14=$E22,AL$5:AL$14))</f>
        <v>2.089233821089366</v>
      </c>
      <c r="AM23" s="81">
        <f t="array" ref="AM23">_xlfn.STDEV.P(IF($E$5:$E$14=$E22,AM$5:AM$14))</f>
        <v>2.3666906197887201</v>
      </c>
      <c r="AN23" s="81">
        <f t="array" ref="AN23">_xlfn.STDEV.P(IF($E$5:$E$14=$E22,AN$5:AN$14))</f>
        <v>2.1931246928451986</v>
      </c>
      <c r="AO23" s="81">
        <f t="array" ref="AO23">_xlfn.STDEV.P(IF($E$5:$E$14=$E22,AO$5:AO$14))</f>
        <v>9.9568661572539483</v>
      </c>
      <c r="AP23" s="81">
        <f t="array" ref="AP23">_xlfn.STDEV.P(IF($E$5:$E$14=$E22,AP$5:AP$14))</f>
        <v>10.009689183537139</v>
      </c>
      <c r="AQ23" s="81">
        <f t="array" ref="AQ23">_xlfn.STDEV.P(IF($E$5:$E$14=$E22,AQ$5:AQ$14))</f>
        <v>10.352324002121355</v>
      </c>
      <c r="AR23" s="81">
        <f t="array" ref="AR23">_xlfn.STDEV.P(IF($E$5:$E$14=$E22,AR$5:AR$14))</f>
        <v>10.472744021837766</v>
      </c>
      <c r="AS23" s="81">
        <f t="array" ref="AS23">_xlfn.STDEV.P(IF($E$5:$E$14=$E22,AS$5:AS$14))</f>
        <v>10.422875156626038</v>
      </c>
      <c r="AT23" s="81">
        <f t="array" ref="AT23">_xlfn.STDEV.P(IF($E$5:$E$14=$E22,AT$5:AT$14))</f>
        <v>14.666371363755649</v>
      </c>
      <c r="AU23" s="81">
        <f t="array" ref="AU23">_xlfn.STDEV.P(IF($E$5:$E$14=$E22,AU$5:AU$14))</f>
        <v>14.331184778058555</v>
      </c>
      <c r="AV23" s="81">
        <f t="array" ref="AV23">_xlfn.STDEV.P(IF($E$5:$E$14=$E22,AV$5:AV$14))</f>
        <v>14.259919569284007</v>
      </c>
      <c r="AW23" s="81">
        <f t="array" ref="AW23">_xlfn.STDEV.P(IF($E$5:$E$14=$E22,AW$5:AW$14))</f>
        <v>14.370675924625546</v>
      </c>
      <c r="AX23" s="81">
        <f t="array" ref="AX23">_xlfn.STDEV.P(IF($E$5:$E$14=$E22,AX$5:AX$14))</f>
        <v>14.694355434405857</v>
      </c>
      <c r="AY23" s="81">
        <f t="array" ref="AY23">_xlfn.STDEV.P(IF($E$5:$E$14=$E22,AY$5:AY$14))</f>
        <v>15.383200484387414</v>
      </c>
      <c r="AZ23" s="81">
        <f t="array" ref="AZ23">_xlfn.STDEV.P(IF($E$5:$E$14=$E22,AZ$5:AZ$14))</f>
        <v>15.211824079864146</v>
      </c>
      <c r="BA23" s="81">
        <f t="array" ref="BA23">_xlfn.STDEV.P(IF($E$5:$E$14=$E22,BA$5:BA$14))</f>
        <v>15.261810414982136</v>
      </c>
      <c r="BB23" s="81">
        <f t="array" ref="BB23">_xlfn.STDEV.P(IF($E$5:$E$14=$E22,BB$5:BB$14))</f>
        <v>15.64103707611252</v>
      </c>
      <c r="BC23" s="81">
        <f t="array" ref="BC23">_xlfn.STDEV.P(IF($E$5:$E$14=$E22,BC$5:BC$14))</f>
        <v>13.537657229569161</v>
      </c>
      <c r="BD23" s="81">
        <f t="array" ref="BD23">_xlfn.STDEV.P(IF($E$5:$E$14=$E22,BD$5:BD$14))</f>
        <v>13.361122401831919</v>
      </c>
      <c r="BE23" s="104" t="s">
        <v>11</v>
      </c>
      <c r="BF23" s="74">
        <f t="array" ref="BF23">_xlfn.STDEV.P(IF($E$5:$E$14=$E22,BF$5:BF$14))</f>
        <v>0</v>
      </c>
      <c r="BG23" s="74">
        <f t="array" ref="BG23">_xlfn.STDEV.P(IF($E$5:$E$14=$E22,BG$5:BG$14))</f>
        <v>2.0410695110245448E-2</v>
      </c>
      <c r="BH23" s="74">
        <f t="array" ref="BH23">_xlfn.STDEV.P(IF($E$5:$E$14=$E22,BH$5:BH$14))</f>
        <v>2.420895292762627E-2</v>
      </c>
      <c r="BI23" s="74">
        <f t="array" ref="BI23">_xlfn.STDEV.P(IF($E$5:$E$14=$E22,BI$5:BI$14))</f>
        <v>1.5601434805444448E-2</v>
      </c>
      <c r="BJ23" s="74">
        <f t="array" ref="BJ23">_xlfn.STDEV.P(IF($E$5:$E$14=$E22,BJ$5:BJ$14))</f>
        <v>1.6519634705954789E-2</v>
      </c>
      <c r="BK23" s="74">
        <f t="array" ref="BK23">_xlfn.STDEV.P(IF($E$5:$E$14=$E22,BK$5:BK$14))</f>
        <v>2.2885936326193703E-2</v>
      </c>
      <c r="BL23" s="74">
        <f t="array" ref="BL23">_xlfn.STDEV.P(IF($E$5:$E$14=$E22,BL$5:BL$14))</f>
        <v>1.424513736136813E-2</v>
      </c>
      <c r="BM23" s="74">
        <f t="array" ref="BM23">_xlfn.STDEV.P(IF($E$5:$E$14=$E22,BM$5:BM$14))</f>
        <v>1.952383243576335E-2</v>
      </c>
      <c r="BN23" s="74">
        <f t="array" ref="BN23">_xlfn.STDEV.P(IF($E$5:$E$14=$E22,BN$5:BN$14))</f>
        <v>2.3396341209416624E-2</v>
      </c>
      <c r="BO23" s="74">
        <f t="array" ref="BO23">_xlfn.STDEV.P(IF($E$5:$E$14=$E22,BO$5:BO$14))</f>
        <v>1.2501481821664426E-2</v>
      </c>
      <c r="BP23" s="74">
        <f t="array" ref="BP23">_xlfn.STDEV.P(IF($E$5:$E$14=$E22,BP$5:BP$14))</f>
        <v>1.9119385981368517E-2</v>
      </c>
      <c r="BQ23" s="74">
        <f t="array" ref="BQ23">_xlfn.STDEV.P(IF($E$5:$E$14=$E22,BQ$5:BQ$14))</f>
        <v>2.1337586995260571E-2</v>
      </c>
      <c r="BR23" s="74">
        <f t="array" ref="BR23">_xlfn.STDEV.P(IF($E$5:$E$14=$E22,BR$5:BR$14))</f>
        <v>2.5474205169021821E-2</v>
      </c>
      <c r="BS23" s="74">
        <f t="array" ref="BS23">_xlfn.STDEV.P(IF($E$5:$E$14=$E22,BS$5:BS$14))</f>
        <v>2.0104088306080129E-2</v>
      </c>
      <c r="BT23" s="74">
        <f t="array" ref="BT23">_xlfn.STDEV.P(IF($E$5:$E$14=$E22,BT$5:BT$14))</f>
        <v>2.3182285590092045E-2</v>
      </c>
      <c r="BU23" s="74">
        <f t="array" ref="BU23">_xlfn.STDEV.P(IF($E$5:$E$14=$E22,BU$5:BU$14))</f>
        <v>2.4815479600248089E-2</v>
      </c>
      <c r="BV23" s="74">
        <f t="array" ref="BV23">_xlfn.STDEV.P(IF($E$5:$E$14=$E22,BV$5:BV$14))</f>
        <v>2.5489245843651653E-2</v>
      </c>
      <c r="BW23" s="74">
        <f t="array" ref="BW23">_xlfn.STDEV.P(IF($E$5:$E$14=$E22,BW$5:BW$14))</f>
        <v>2.688018835032446E-2</v>
      </c>
      <c r="BX23" s="74">
        <f t="array" ref="BX23">_xlfn.STDEV.P(IF($E$5:$E$14=$E22,BX$5:BX$14))</f>
        <v>2.801547967136343E-2</v>
      </c>
      <c r="BY23" s="74">
        <f t="array" ref="BY23">_xlfn.STDEV.P(IF($E$5:$E$14=$E22,BY$5:BY$14))</f>
        <v>2.197822854608894E-2</v>
      </c>
      <c r="BZ23" s="74">
        <f t="array" ref="BZ23">_xlfn.STDEV.P(IF($E$5:$E$14=$E22,BZ$5:BZ$14))</f>
        <v>2.7948290264416864E-2</v>
      </c>
      <c r="CA23" s="74">
        <f t="array" ref="CA23">_xlfn.STDEV.P(IF($E$5:$E$14=$E22,CA$5:CA$14))</f>
        <v>3.3143579524334818E-2</v>
      </c>
      <c r="CB23" s="74">
        <f t="array" ref="CB23">_xlfn.STDEV.P(IF($E$5:$E$14=$E22,CB$5:CB$14))</f>
        <v>2.7631901748209495E-2</v>
      </c>
      <c r="CC23" s="74">
        <f t="array" ref="CC23">_xlfn.STDEV.P(IF($E$5:$E$14=$E22,CC$5:CC$14))</f>
        <v>3.3178228298155421E-2</v>
      </c>
      <c r="CD23" s="74">
        <f t="array" ref="CD23">_xlfn.STDEV.P(IF($E$5:$E$14=$E22,CD$5:CD$14))</f>
        <v>3.3603896704943202E-2</v>
      </c>
      <c r="CE23" s="74">
        <f t="array" ref="CE23">_xlfn.STDEV.P(IF($E$5:$E$14=$E22,CE$5:CE$14))</f>
        <v>3.4765296388216606E-2</v>
      </c>
      <c r="CF23" s="74">
        <f t="array" ref="CF23">_xlfn.STDEV.P(IF($E$5:$E$14=$E22,CF$5:CF$14))</f>
        <v>2.4839464035213057E-2</v>
      </c>
      <c r="CG23" s="74">
        <f t="array" ref="CG23">_xlfn.STDEV.P(IF($E$5:$E$14=$E22,CG$5:CG$14))</f>
        <v>3.1608996900717418E-2</v>
      </c>
      <c r="CH23" s="74">
        <f t="array" ref="CH23">_xlfn.STDEV.P(IF($E$5:$E$14=$E22,CH$5:CH$14))</f>
        <v>2.9215954887615858E-2</v>
      </c>
      <c r="CI23" s="74">
        <f t="array" ref="CI23">_xlfn.STDEV.P(IF($E$5:$E$14=$E22,CI$5:CI$14))</f>
        <v>2.3261252067483487E-2</v>
      </c>
      <c r="CJ23" s="74">
        <f t="array" ref="CJ23">_xlfn.STDEV.P(IF($E$5:$E$14=$E22,CJ$5:CJ$14))</f>
        <v>2.589265214608415E-2</v>
      </c>
      <c r="CK23" s="74">
        <f t="array" ref="CK23">_xlfn.STDEV.P(IF($E$5:$E$14=$E22,CK$5:CK$14))</f>
        <v>2.8217462685588546E-2</v>
      </c>
      <c r="CL23" s="74">
        <f t="array" ref="CL23">_xlfn.STDEV.P(IF($E$5:$E$14=$E22,CL$5:CL$14))</f>
        <v>2.937618694136615E-2</v>
      </c>
      <c r="CM23" s="74">
        <f t="array" ref="CM23">_xlfn.STDEV.P(IF($E$5:$E$14=$E22,CM$5:CM$14))</f>
        <v>2.1479547200622853E-2</v>
      </c>
      <c r="CN23" s="74">
        <f t="array" ref="CN23">_xlfn.STDEV.P(IF($E$5:$E$14=$E22,CN$5:CN$14))</f>
        <v>1.9252617579269451E-2</v>
      </c>
      <c r="CO23" s="74">
        <f t="array" ref="CO23">_xlfn.STDEV.P(IF($E$5:$E$14=$E22,CO$5:CO$14))</f>
        <v>4.3240666757788059E-2</v>
      </c>
      <c r="CP23" s="74">
        <f t="array" ref="CP23">_xlfn.STDEV.P(IF($E$5:$E$14=$E22,CP$5:CP$14))</f>
        <v>6.3846153220322319E-2</v>
      </c>
      <c r="CQ23" s="74">
        <f t="array" ref="CQ23">_xlfn.STDEV.P(IF($E$5:$E$14=$E22,CQ$5:CQ$14))</f>
        <v>7.4904768716580611E-2</v>
      </c>
      <c r="CR23" s="74">
        <f t="array" ref="CR23">_xlfn.STDEV.P(IF($E$5:$E$14=$E22,CR$5:CR$14))</f>
        <v>7.9097478765770696E-2</v>
      </c>
      <c r="CS23" s="74">
        <f t="array" ref="CS23">_xlfn.STDEV.P(IF($E$5:$E$14=$E22,CS$5:CS$14))</f>
        <v>2.0540362268493161E-2</v>
      </c>
      <c r="CT23" s="74">
        <f t="array" ref="CT23">_xlfn.STDEV.P(IF($E$5:$E$14=$E22,CT$5:CT$14))</f>
        <v>2.8139986613205607E-2</v>
      </c>
      <c r="CU23" s="74">
        <f t="array" ref="CU23">_xlfn.STDEV.P(IF($E$5:$E$14=$E22,CU$5:CU$14))</f>
        <v>1.4090076124355609E-2</v>
      </c>
      <c r="CV23" s="74">
        <f t="array" ref="CV23">_xlfn.STDEV.P(IF($E$5:$E$14=$E22,CV$5:CV$14))</f>
        <v>1.4074761160991624E-2</v>
      </c>
      <c r="CW23" s="74">
        <f t="array" ref="CW23">_xlfn.STDEV.P(IF($E$5:$E$14=$E22,CW$5:CW$14))</f>
        <v>1.1462994006198879E-2</v>
      </c>
      <c r="CX23" s="74">
        <f t="array" ref="CX23">_xlfn.STDEV.P(IF($E$5:$E$14=$E22,CX$5:CX$14))</f>
        <v>1.8650731436703261E-2</v>
      </c>
      <c r="CY23" s="76"/>
    </row>
    <row r="24" spans="1:103" ht="15">
      <c r="A24" s="113"/>
      <c r="E24" s="118"/>
      <c r="I24" s="52"/>
    </row>
    <row r="25" spans="1:103" ht="14.25" customHeight="1">
      <c r="A25" s="113"/>
      <c r="E25" s="118" t="str">
        <f>'AsPc1 REPEAT Groups'!C8</f>
        <v>Excluded</v>
      </c>
      <c r="I25" s="118" t="str">
        <f>E25</f>
        <v>Excluded</v>
      </c>
      <c r="J25" s="318">
        <f>AVERAGEIF($E$5:$E$14,$E25,J$5:J$14)</f>
        <v>28.4</v>
      </c>
      <c r="K25" s="72" t="s">
        <v>9</v>
      </c>
      <c r="L25" s="78">
        <f t="shared" ref="L25:BD25" si="14">AVERAGEIF($E$5:$E$14,$E25,L$5:L$14)</f>
        <v>28.4</v>
      </c>
      <c r="M25" s="78">
        <f t="shared" si="14"/>
        <v>24.9</v>
      </c>
      <c r="N25" s="78">
        <f t="shared" si="14"/>
        <v>23.4</v>
      </c>
      <c r="O25" s="78">
        <f t="shared" si="14"/>
        <v>20.9</v>
      </c>
      <c r="P25" s="78" t="e">
        <f t="shared" si="14"/>
        <v>#DIV/0!</v>
      </c>
      <c r="Q25" s="78" t="e">
        <f t="shared" si="14"/>
        <v>#DIV/0!</v>
      </c>
      <c r="R25" s="78" t="e">
        <f t="shared" si="14"/>
        <v>#DIV/0!</v>
      </c>
      <c r="S25" s="78" t="e">
        <f t="shared" si="14"/>
        <v>#DIV/0!</v>
      </c>
      <c r="T25" s="78" t="e">
        <f t="shared" si="14"/>
        <v>#DIV/0!</v>
      </c>
      <c r="U25" s="78" t="e">
        <f t="shared" si="14"/>
        <v>#DIV/0!</v>
      </c>
      <c r="V25" s="78" t="e">
        <f t="shared" si="14"/>
        <v>#DIV/0!</v>
      </c>
      <c r="W25" s="78" t="e">
        <f t="shared" si="14"/>
        <v>#DIV/0!</v>
      </c>
      <c r="X25" s="78" t="e">
        <f t="shared" si="14"/>
        <v>#DIV/0!</v>
      </c>
      <c r="Y25" s="78" t="e">
        <f t="shared" si="14"/>
        <v>#DIV/0!</v>
      </c>
      <c r="Z25" s="78" t="e">
        <f t="shared" si="14"/>
        <v>#DIV/0!</v>
      </c>
      <c r="AA25" s="78" t="e">
        <f t="shared" si="14"/>
        <v>#DIV/0!</v>
      </c>
      <c r="AB25" s="78" t="e">
        <f t="shared" si="14"/>
        <v>#DIV/0!</v>
      </c>
      <c r="AC25" s="78" t="e">
        <f t="shared" si="14"/>
        <v>#DIV/0!</v>
      </c>
      <c r="AD25" s="78" t="e">
        <f t="shared" si="14"/>
        <v>#DIV/0!</v>
      </c>
      <c r="AE25" s="78" t="e">
        <f t="shared" si="14"/>
        <v>#DIV/0!</v>
      </c>
      <c r="AF25" s="78" t="e">
        <f t="shared" si="14"/>
        <v>#DIV/0!</v>
      </c>
      <c r="AG25" s="78" t="e">
        <f t="shared" si="14"/>
        <v>#DIV/0!</v>
      </c>
      <c r="AH25" s="78" t="e">
        <f t="shared" si="14"/>
        <v>#DIV/0!</v>
      </c>
      <c r="AI25" s="78" t="e">
        <f t="shared" si="14"/>
        <v>#DIV/0!</v>
      </c>
      <c r="AJ25" s="78" t="e">
        <f t="shared" si="14"/>
        <v>#DIV/0!</v>
      </c>
      <c r="AK25" s="78" t="e">
        <f t="shared" si="14"/>
        <v>#DIV/0!</v>
      </c>
      <c r="AL25" s="78" t="e">
        <f t="shared" si="14"/>
        <v>#DIV/0!</v>
      </c>
      <c r="AM25" s="78" t="e">
        <f t="shared" si="14"/>
        <v>#DIV/0!</v>
      </c>
      <c r="AN25" s="78" t="e">
        <f t="shared" si="14"/>
        <v>#DIV/0!</v>
      </c>
      <c r="AO25" s="78" t="e">
        <f t="shared" si="14"/>
        <v>#DIV/0!</v>
      </c>
      <c r="AP25" s="78" t="e">
        <f t="shared" si="14"/>
        <v>#DIV/0!</v>
      </c>
      <c r="AQ25" s="78" t="e">
        <f t="shared" si="14"/>
        <v>#DIV/0!</v>
      </c>
      <c r="AR25" s="78" t="e">
        <f t="shared" si="14"/>
        <v>#DIV/0!</v>
      </c>
      <c r="AS25" s="78" t="e">
        <f t="shared" si="14"/>
        <v>#DIV/0!</v>
      </c>
      <c r="AT25" s="78" t="e">
        <f t="shared" si="14"/>
        <v>#DIV/0!</v>
      </c>
      <c r="AU25" s="78" t="e">
        <f t="shared" si="14"/>
        <v>#DIV/0!</v>
      </c>
      <c r="AV25" s="78" t="e">
        <f t="shared" si="14"/>
        <v>#DIV/0!</v>
      </c>
      <c r="AW25" s="78" t="e">
        <f t="shared" si="14"/>
        <v>#DIV/0!</v>
      </c>
      <c r="AX25" s="78" t="e">
        <f t="shared" si="14"/>
        <v>#DIV/0!</v>
      </c>
      <c r="AY25" s="78" t="e">
        <f t="shared" si="14"/>
        <v>#DIV/0!</v>
      </c>
      <c r="AZ25" s="78" t="e">
        <f t="shared" si="14"/>
        <v>#DIV/0!</v>
      </c>
      <c r="BA25" s="78" t="e">
        <f t="shared" si="14"/>
        <v>#DIV/0!</v>
      </c>
      <c r="BB25" s="78" t="e">
        <f t="shared" si="14"/>
        <v>#DIV/0!</v>
      </c>
      <c r="BC25" s="78" t="e">
        <f t="shared" si="14"/>
        <v>#DIV/0!</v>
      </c>
      <c r="BD25" s="78" t="e">
        <f t="shared" si="14"/>
        <v>#DIV/0!</v>
      </c>
      <c r="BE25" s="103" t="s">
        <v>9</v>
      </c>
      <c r="BF25" s="73">
        <f t="shared" ref="BF25:CX25" si="15">AVERAGEIF($E$5:$E$14,$E25,BF$5:BF$14)</f>
        <v>1</v>
      </c>
      <c r="BG25" s="73">
        <f t="shared" si="15"/>
        <v>0.87676056338028163</v>
      </c>
      <c r="BH25" s="73">
        <f t="shared" si="15"/>
        <v>0.823943661971831</v>
      </c>
      <c r="BI25" s="73">
        <f t="shared" si="15"/>
        <v>0.7359154929577465</v>
      </c>
      <c r="BJ25" s="73" t="e">
        <f t="shared" si="15"/>
        <v>#DIV/0!</v>
      </c>
      <c r="BK25" s="73" t="e">
        <f t="shared" si="15"/>
        <v>#DIV/0!</v>
      </c>
      <c r="BL25" s="73" t="e">
        <f t="shared" si="15"/>
        <v>#DIV/0!</v>
      </c>
      <c r="BM25" s="73" t="e">
        <f t="shared" si="15"/>
        <v>#DIV/0!</v>
      </c>
      <c r="BN25" s="73" t="e">
        <f t="shared" si="15"/>
        <v>#DIV/0!</v>
      </c>
      <c r="BO25" s="73" t="e">
        <f t="shared" si="15"/>
        <v>#DIV/0!</v>
      </c>
      <c r="BP25" s="73" t="e">
        <f t="shared" si="15"/>
        <v>#DIV/0!</v>
      </c>
      <c r="BQ25" s="73" t="e">
        <f t="shared" si="15"/>
        <v>#DIV/0!</v>
      </c>
      <c r="BR25" s="73" t="e">
        <f t="shared" si="15"/>
        <v>#DIV/0!</v>
      </c>
      <c r="BS25" s="73" t="e">
        <f t="shared" si="15"/>
        <v>#DIV/0!</v>
      </c>
      <c r="BT25" s="73" t="e">
        <f t="shared" si="15"/>
        <v>#DIV/0!</v>
      </c>
      <c r="BU25" s="73" t="e">
        <f t="shared" si="15"/>
        <v>#DIV/0!</v>
      </c>
      <c r="BV25" s="73" t="e">
        <f t="shared" si="15"/>
        <v>#DIV/0!</v>
      </c>
      <c r="BW25" s="73" t="e">
        <f t="shared" si="15"/>
        <v>#DIV/0!</v>
      </c>
      <c r="BX25" s="73" t="e">
        <f t="shared" si="15"/>
        <v>#DIV/0!</v>
      </c>
      <c r="BY25" s="73" t="e">
        <f t="shared" si="15"/>
        <v>#DIV/0!</v>
      </c>
      <c r="BZ25" s="73" t="e">
        <f t="shared" si="15"/>
        <v>#DIV/0!</v>
      </c>
      <c r="CA25" s="73" t="e">
        <f t="shared" si="15"/>
        <v>#DIV/0!</v>
      </c>
      <c r="CB25" s="73" t="e">
        <f t="shared" si="15"/>
        <v>#DIV/0!</v>
      </c>
      <c r="CC25" s="73" t="e">
        <f t="shared" si="15"/>
        <v>#DIV/0!</v>
      </c>
      <c r="CD25" s="73" t="e">
        <f t="shared" si="15"/>
        <v>#DIV/0!</v>
      </c>
      <c r="CE25" s="73" t="e">
        <f t="shared" si="15"/>
        <v>#DIV/0!</v>
      </c>
      <c r="CF25" s="73" t="e">
        <f t="shared" si="15"/>
        <v>#DIV/0!</v>
      </c>
      <c r="CG25" s="73" t="e">
        <f t="shared" si="15"/>
        <v>#DIV/0!</v>
      </c>
      <c r="CH25" s="73" t="e">
        <f t="shared" si="15"/>
        <v>#DIV/0!</v>
      </c>
      <c r="CI25" s="73" t="e">
        <f t="shared" si="15"/>
        <v>#DIV/0!</v>
      </c>
      <c r="CJ25" s="73" t="e">
        <f t="shared" si="15"/>
        <v>#DIV/0!</v>
      </c>
      <c r="CK25" s="73" t="e">
        <f t="shared" si="15"/>
        <v>#DIV/0!</v>
      </c>
      <c r="CL25" s="73" t="e">
        <f t="shared" si="15"/>
        <v>#DIV/0!</v>
      </c>
      <c r="CM25" s="73" t="e">
        <f t="shared" si="15"/>
        <v>#DIV/0!</v>
      </c>
      <c r="CN25" s="73" t="e">
        <f t="shared" si="15"/>
        <v>#DIV/0!</v>
      </c>
      <c r="CO25" s="73" t="e">
        <f t="shared" si="15"/>
        <v>#DIV/0!</v>
      </c>
      <c r="CP25" s="73" t="e">
        <f t="shared" si="15"/>
        <v>#DIV/0!</v>
      </c>
      <c r="CQ25" s="73" t="e">
        <f t="shared" si="15"/>
        <v>#DIV/0!</v>
      </c>
      <c r="CR25" s="73" t="e">
        <f t="shared" si="15"/>
        <v>#DIV/0!</v>
      </c>
      <c r="CS25" s="73" t="e">
        <f t="shared" si="15"/>
        <v>#DIV/0!</v>
      </c>
      <c r="CT25" s="73" t="e">
        <f t="shared" si="15"/>
        <v>#DIV/0!</v>
      </c>
      <c r="CU25" s="73" t="e">
        <f t="shared" si="15"/>
        <v>#DIV/0!</v>
      </c>
      <c r="CV25" s="73" t="e">
        <f t="shared" si="15"/>
        <v>#DIV/0!</v>
      </c>
      <c r="CW25" s="73" t="e">
        <f t="shared" si="15"/>
        <v>#DIV/0!</v>
      </c>
      <c r="CX25" s="73" t="e">
        <f t="shared" si="15"/>
        <v>#DIV/0!</v>
      </c>
      <c r="CY25" s="76"/>
    </row>
    <row r="26" spans="1:103" ht="14.25" customHeight="1">
      <c r="A26" s="113"/>
      <c r="E26" s="93"/>
      <c r="I26" s="93"/>
      <c r="J26" s="318">
        <f t="array" ref="J26">_xlfn.STDEV.P(IF($E$5:$E$14=$E25,J$5:J$14))</f>
        <v>0</v>
      </c>
      <c r="K26" s="72" t="s">
        <v>11</v>
      </c>
      <c r="L26" s="81">
        <f t="array" ref="L26">_xlfn.STDEV.P(IF($E$5:$E$14=$E25,L$5:L$14))</f>
        <v>0</v>
      </c>
      <c r="M26" s="81">
        <f t="array" ref="M26">_xlfn.STDEV.P(IF($E$5:$E$14=$E25,M$5:M$14))</f>
        <v>0</v>
      </c>
      <c r="N26" s="81">
        <f t="array" ref="N26">_xlfn.STDEV.P(IF($E$5:$E$14=$E25,N$5:N$14))</f>
        <v>0</v>
      </c>
      <c r="O26" s="81">
        <f t="array" ref="O26">_xlfn.STDEV.P(IF($E$5:$E$14=$E25,O$5:O$14))</f>
        <v>0</v>
      </c>
      <c r="P26" s="81">
        <f t="array" ref="P26">_xlfn.STDEV.P(IF($E$5:$E$14=$E25,P$5:P$14))</f>
        <v>0</v>
      </c>
      <c r="Q26" s="81">
        <f t="array" ref="Q26">_xlfn.STDEV.P(IF($E$5:$E$14=$E25,Q$5:Q$14))</f>
        <v>0</v>
      </c>
      <c r="R26" s="81">
        <f t="array" ref="R26">_xlfn.STDEV.P(IF($E$5:$E$14=$E25,R$5:R$14))</f>
        <v>0</v>
      </c>
      <c r="S26" s="81">
        <f t="array" ref="S26">_xlfn.STDEV.P(IF($E$5:$E$14=$E25,S$5:S$14))</f>
        <v>0</v>
      </c>
      <c r="T26" s="81">
        <f t="array" ref="T26">_xlfn.STDEV.P(IF($E$5:$E$14=$E25,T$5:T$14))</f>
        <v>0</v>
      </c>
      <c r="U26" s="81">
        <f t="array" ref="U26">_xlfn.STDEV.P(IF($E$5:$E$14=$E25,U$5:U$14))</f>
        <v>0</v>
      </c>
      <c r="V26" s="81">
        <f t="array" ref="V26">_xlfn.STDEV.P(IF($E$5:$E$14=$E25,V$5:V$14))</f>
        <v>0</v>
      </c>
      <c r="W26" s="81">
        <f t="array" ref="W26">_xlfn.STDEV.P(IF($E$5:$E$14=$E25,W$5:W$14))</f>
        <v>0</v>
      </c>
      <c r="X26" s="81">
        <f t="array" ref="X26">_xlfn.STDEV.P(IF($E$5:$E$14=$E25,X$5:X$14))</f>
        <v>0</v>
      </c>
      <c r="Y26" s="81">
        <f t="array" ref="Y26">_xlfn.STDEV.P(IF($E$5:$E$14=$E25,Y$5:Y$14))</f>
        <v>0</v>
      </c>
      <c r="Z26" s="81">
        <f t="array" ref="Z26">_xlfn.STDEV.P(IF($E$5:$E$14=$E25,Z$5:Z$14))</f>
        <v>0</v>
      </c>
      <c r="AA26" s="81">
        <f t="array" ref="AA26">_xlfn.STDEV.P(IF($E$5:$E$14=$E25,AA$5:AA$14))</f>
        <v>0</v>
      </c>
      <c r="AB26" s="81">
        <f t="array" ref="AB26">_xlfn.STDEV.P(IF($E$5:$E$14=$E25,AB$5:AB$14))</f>
        <v>0</v>
      </c>
      <c r="AC26" s="81">
        <f t="array" ref="AC26">_xlfn.STDEV.P(IF($E$5:$E$14=$E25,AC$5:AC$14))</f>
        <v>0</v>
      </c>
      <c r="AD26" s="81">
        <f t="array" ref="AD26">_xlfn.STDEV.P(IF($E$5:$E$14=$E25,AD$5:AD$14))</f>
        <v>0</v>
      </c>
      <c r="AE26" s="81">
        <f t="array" ref="AE26">_xlfn.STDEV.P(IF($E$5:$E$14=$E25,AE$5:AE$14))</f>
        <v>0</v>
      </c>
      <c r="AF26" s="81">
        <f t="array" ref="AF26">_xlfn.STDEV.P(IF($E$5:$E$14=$E25,AF$5:AF$14))</f>
        <v>0</v>
      </c>
      <c r="AG26" s="81">
        <f t="array" ref="AG26">_xlfn.STDEV.P(IF($E$5:$E$14=$E25,AG$5:AG$14))</f>
        <v>0</v>
      </c>
      <c r="AH26" s="81">
        <f t="array" ref="AH26">_xlfn.STDEV.P(IF($E$5:$E$14=$E25,AH$5:AH$14))</f>
        <v>0</v>
      </c>
      <c r="AI26" s="81">
        <f t="array" ref="AI26">_xlfn.STDEV.P(IF($E$5:$E$14=$E25,AI$5:AI$14))</f>
        <v>0</v>
      </c>
      <c r="AJ26" s="81">
        <f t="array" ref="AJ26">_xlfn.STDEV.P(IF($E$5:$E$14=$E25,AJ$5:AJ$14))</f>
        <v>0</v>
      </c>
      <c r="AK26" s="81">
        <f t="array" ref="AK26">_xlfn.STDEV.P(IF($E$5:$E$14=$E25,AK$5:AK$14))</f>
        <v>0</v>
      </c>
      <c r="AL26" s="81">
        <f t="array" ref="AL26">_xlfn.STDEV.P(IF($E$5:$E$14=$E25,AL$5:AL$14))</f>
        <v>0</v>
      </c>
      <c r="AM26" s="81">
        <f t="array" ref="AM26">_xlfn.STDEV.P(IF($E$5:$E$14=$E25,AM$5:AM$14))</f>
        <v>0</v>
      </c>
      <c r="AN26" s="81">
        <f t="array" ref="AN26">_xlfn.STDEV.P(IF($E$5:$E$14=$E25,AN$5:AN$14))</f>
        <v>0</v>
      </c>
      <c r="AO26" s="81">
        <f t="array" ref="AO26">_xlfn.STDEV.P(IF($E$5:$E$14=$E25,AO$5:AO$14))</f>
        <v>0</v>
      </c>
      <c r="AP26" s="81">
        <f t="array" ref="AP26">_xlfn.STDEV.P(IF($E$5:$E$14=$E25,AP$5:AP$14))</f>
        <v>0</v>
      </c>
      <c r="AQ26" s="81">
        <f t="array" ref="AQ26">_xlfn.STDEV.P(IF($E$5:$E$14=$E25,AQ$5:AQ$14))</f>
        <v>0</v>
      </c>
      <c r="AR26" s="81">
        <f t="array" ref="AR26">_xlfn.STDEV.P(IF($E$5:$E$14=$E25,AR$5:AR$14))</f>
        <v>0</v>
      </c>
      <c r="AS26" s="81">
        <f t="array" ref="AS26">_xlfn.STDEV.P(IF($E$5:$E$14=$E25,AS$5:AS$14))</f>
        <v>0</v>
      </c>
      <c r="AT26" s="81">
        <f t="array" ref="AT26">_xlfn.STDEV.P(IF($E$5:$E$14=$E25,AT$5:AT$14))</f>
        <v>0</v>
      </c>
      <c r="AU26" s="81">
        <f t="array" ref="AU26">_xlfn.STDEV.P(IF($E$5:$E$14=$E25,AU$5:AU$14))</f>
        <v>0</v>
      </c>
      <c r="AV26" s="81">
        <f t="array" ref="AV26">_xlfn.STDEV.P(IF($E$5:$E$14=$E25,AV$5:AV$14))</f>
        <v>0</v>
      </c>
      <c r="AW26" s="81">
        <f t="array" ref="AW26">_xlfn.STDEV.P(IF($E$5:$E$14=$E25,AW$5:AW$14))</f>
        <v>0</v>
      </c>
      <c r="AX26" s="81">
        <f t="array" ref="AX26">_xlfn.STDEV.P(IF($E$5:$E$14=$E25,AX$5:AX$14))</f>
        <v>0</v>
      </c>
      <c r="AY26" s="81">
        <f t="array" ref="AY26">_xlfn.STDEV.P(IF($E$5:$E$14=$E25,AY$5:AY$14))</f>
        <v>0</v>
      </c>
      <c r="AZ26" s="81">
        <f t="array" ref="AZ26">_xlfn.STDEV.P(IF($E$5:$E$14=$E25,AZ$5:AZ$14))</f>
        <v>0</v>
      </c>
      <c r="BA26" s="81">
        <f t="array" ref="BA26">_xlfn.STDEV.P(IF($E$5:$E$14=$E25,BA$5:BA$14))</f>
        <v>0</v>
      </c>
      <c r="BB26" s="81">
        <f t="array" ref="BB26">_xlfn.STDEV.P(IF($E$5:$E$14=$E25,BB$5:BB$14))</f>
        <v>0</v>
      </c>
      <c r="BC26" s="81">
        <f t="array" ref="BC26">_xlfn.STDEV.P(IF($E$5:$E$14=$E25,BC$5:BC$14))</f>
        <v>0</v>
      </c>
      <c r="BD26" s="81">
        <f t="array" ref="BD26">_xlfn.STDEV.P(IF($E$5:$E$14=$E25,BD$5:BD$14))</f>
        <v>0</v>
      </c>
      <c r="BE26" s="104" t="s">
        <v>11</v>
      </c>
      <c r="BF26" s="74">
        <f t="array" ref="BF26">_xlfn.STDEV.P(IF($E$5:$E$14=$E25,BF$5:BF$14))</f>
        <v>0</v>
      </c>
      <c r="BG26" s="74">
        <f t="array" ref="BG26">_xlfn.STDEV.P(IF($E$5:$E$14=$E25,BG$5:BG$14))</f>
        <v>0</v>
      </c>
      <c r="BH26" s="74">
        <f t="array" ref="BH26">_xlfn.STDEV.P(IF($E$5:$E$14=$E25,BH$5:BH$14))</f>
        <v>0</v>
      </c>
      <c r="BI26" s="74">
        <f t="array" ref="BI26">_xlfn.STDEV.P(IF($E$5:$E$14=$E25,BI$5:BI$14))</f>
        <v>0</v>
      </c>
      <c r="BJ26" s="74" t="e">
        <f t="array" ref="BJ26">_xlfn.STDEV.P(IF($E$5:$E$14=$E25,BJ$5:BJ$14))</f>
        <v>#DIV/0!</v>
      </c>
      <c r="BK26" s="74" t="e">
        <f t="array" ref="BK26">_xlfn.STDEV.P(IF($E$5:$E$14=$E25,BK$5:BK$14))</f>
        <v>#DIV/0!</v>
      </c>
      <c r="BL26" s="74" t="e">
        <f t="array" ref="BL26">_xlfn.STDEV.P(IF($E$5:$E$14=$E25,BL$5:BL$14))</f>
        <v>#DIV/0!</v>
      </c>
      <c r="BM26" s="74" t="e">
        <f t="array" ref="BM26">_xlfn.STDEV.P(IF($E$5:$E$14=$E25,BM$5:BM$14))</f>
        <v>#DIV/0!</v>
      </c>
      <c r="BN26" s="74" t="e">
        <f t="array" ref="BN26">_xlfn.STDEV.P(IF($E$5:$E$14=$E25,BN$5:BN$14))</f>
        <v>#DIV/0!</v>
      </c>
      <c r="BO26" s="74" t="e">
        <f t="array" ref="BO26">_xlfn.STDEV.P(IF($E$5:$E$14=$E25,BO$5:BO$14))</f>
        <v>#DIV/0!</v>
      </c>
      <c r="BP26" s="74" t="e">
        <f t="array" ref="BP26">_xlfn.STDEV.P(IF($E$5:$E$14=$E25,BP$5:BP$14))</f>
        <v>#DIV/0!</v>
      </c>
      <c r="BQ26" s="74" t="e">
        <f t="array" ref="BQ26">_xlfn.STDEV.P(IF($E$5:$E$14=$E25,BQ$5:BQ$14))</f>
        <v>#DIV/0!</v>
      </c>
      <c r="BR26" s="74" t="e">
        <f t="array" ref="BR26">_xlfn.STDEV.P(IF($E$5:$E$14=$E25,BR$5:BR$14))</f>
        <v>#DIV/0!</v>
      </c>
      <c r="BS26" s="74" t="e">
        <f t="array" ref="BS26">_xlfn.STDEV.P(IF($E$5:$E$14=$E25,BS$5:BS$14))</f>
        <v>#DIV/0!</v>
      </c>
      <c r="BT26" s="74" t="e">
        <f t="array" ref="BT26">_xlfn.STDEV.P(IF($E$5:$E$14=$E25,BT$5:BT$14))</f>
        <v>#DIV/0!</v>
      </c>
      <c r="BU26" s="74" t="e">
        <f t="array" ref="BU26">_xlfn.STDEV.P(IF($E$5:$E$14=$E25,BU$5:BU$14))</f>
        <v>#DIV/0!</v>
      </c>
      <c r="BV26" s="74" t="e">
        <f t="array" ref="BV26">_xlfn.STDEV.P(IF($E$5:$E$14=$E25,BV$5:BV$14))</f>
        <v>#DIV/0!</v>
      </c>
      <c r="BW26" s="74" t="e">
        <f t="array" ref="BW26">_xlfn.STDEV.P(IF($E$5:$E$14=$E25,BW$5:BW$14))</f>
        <v>#DIV/0!</v>
      </c>
      <c r="BX26" s="74" t="e">
        <f t="array" ref="BX26">_xlfn.STDEV.P(IF($E$5:$E$14=$E25,BX$5:BX$14))</f>
        <v>#DIV/0!</v>
      </c>
      <c r="BY26" s="74" t="e">
        <f t="array" ref="BY26">_xlfn.STDEV.P(IF($E$5:$E$14=$E25,BY$5:BY$14))</f>
        <v>#DIV/0!</v>
      </c>
      <c r="BZ26" s="74" t="e">
        <f t="array" ref="BZ26">_xlfn.STDEV.P(IF($E$5:$E$14=$E25,BZ$5:BZ$14))</f>
        <v>#DIV/0!</v>
      </c>
      <c r="CA26" s="74" t="e">
        <f t="array" ref="CA26">_xlfn.STDEV.P(IF($E$5:$E$14=$E25,CA$5:CA$14))</f>
        <v>#DIV/0!</v>
      </c>
      <c r="CB26" s="74" t="e">
        <f t="array" ref="CB26">_xlfn.STDEV.P(IF($E$5:$E$14=$E25,CB$5:CB$14))</f>
        <v>#DIV/0!</v>
      </c>
      <c r="CC26" s="74" t="e">
        <f t="array" ref="CC26">_xlfn.STDEV.P(IF($E$5:$E$14=$E25,CC$5:CC$14))</f>
        <v>#DIV/0!</v>
      </c>
      <c r="CD26" s="74" t="e">
        <f t="array" ref="CD26">_xlfn.STDEV.P(IF($E$5:$E$14=$E25,CD$5:CD$14))</f>
        <v>#DIV/0!</v>
      </c>
      <c r="CE26" s="74" t="e">
        <f t="array" ref="CE26">_xlfn.STDEV.P(IF($E$5:$E$14=$E25,CE$5:CE$14))</f>
        <v>#DIV/0!</v>
      </c>
      <c r="CF26" s="74" t="e">
        <f t="array" ref="CF26">_xlfn.STDEV.P(IF($E$5:$E$14=$E25,CF$5:CF$14))</f>
        <v>#DIV/0!</v>
      </c>
      <c r="CG26" s="74" t="e">
        <f t="array" ref="CG26">_xlfn.STDEV.P(IF($E$5:$E$14=$E25,CG$5:CG$14))</f>
        <v>#DIV/0!</v>
      </c>
      <c r="CH26" s="74" t="e">
        <f t="array" ref="CH26">_xlfn.STDEV.P(IF($E$5:$E$14=$E25,CH$5:CH$14))</f>
        <v>#DIV/0!</v>
      </c>
      <c r="CI26" s="74" t="e">
        <f t="array" ref="CI26">_xlfn.STDEV.P(IF($E$5:$E$14=$E25,CI$5:CI$14))</f>
        <v>#DIV/0!</v>
      </c>
      <c r="CJ26" s="74" t="e">
        <f t="array" ref="CJ26">_xlfn.STDEV.P(IF($E$5:$E$14=$E25,CJ$5:CJ$14))</f>
        <v>#DIV/0!</v>
      </c>
      <c r="CK26" s="74" t="e">
        <f t="array" ref="CK26">_xlfn.STDEV.P(IF($E$5:$E$14=$E25,CK$5:CK$14))</f>
        <v>#DIV/0!</v>
      </c>
      <c r="CL26" s="74" t="e">
        <f t="array" ref="CL26">_xlfn.STDEV.P(IF($E$5:$E$14=$E25,CL$5:CL$14))</f>
        <v>#DIV/0!</v>
      </c>
      <c r="CM26" s="74" t="e">
        <f t="array" ref="CM26">_xlfn.STDEV.P(IF($E$5:$E$14=$E25,CM$5:CM$14))</f>
        <v>#DIV/0!</v>
      </c>
      <c r="CN26" s="74" t="e">
        <f t="array" ref="CN26">_xlfn.STDEV.P(IF($E$5:$E$14=$E25,CN$5:CN$14))</f>
        <v>#DIV/0!</v>
      </c>
      <c r="CO26" s="74" t="e">
        <f t="array" ref="CO26">_xlfn.STDEV.P(IF($E$5:$E$14=$E25,CO$5:CO$14))</f>
        <v>#DIV/0!</v>
      </c>
      <c r="CP26" s="74" t="e">
        <f t="array" ref="CP26">_xlfn.STDEV.P(IF($E$5:$E$14=$E25,CP$5:CP$14))</f>
        <v>#DIV/0!</v>
      </c>
      <c r="CQ26" s="74" t="e">
        <f t="array" ref="CQ26">_xlfn.STDEV.P(IF($E$5:$E$14=$E25,CQ$5:CQ$14))</f>
        <v>#DIV/0!</v>
      </c>
      <c r="CR26" s="74" t="e">
        <f t="array" ref="CR26">_xlfn.STDEV.P(IF($E$5:$E$14=$E25,CR$5:CR$14))</f>
        <v>#DIV/0!</v>
      </c>
      <c r="CS26" s="74" t="e">
        <f t="array" ref="CS26">_xlfn.STDEV.P(IF($E$5:$E$14=$E25,CS$5:CS$14))</f>
        <v>#DIV/0!</v>
      </c>
      <c r="CT26" s="74" t="e">
        <f t="array" ref="CT26">_xlfn.STDEV.P(IF($E$5:$E$14=$E25,CT$5:CT$14))</f>
        <v>#DIV/0!</v>
      </c>
      <c r="CU26" s="74" t="e">
        <f t="array" ref="CU26">_xlfn.STDEV.P(IF($E$5:$E$14=$E25,CU$5:CU$14))</f>
        <v>#DIV/0!</v>
      </c>
      <c r="CV26" s="74" t="e">
        <f t="array" ref="CV26">_xlfn.STDEV.P(IF($E$5:$E$14=$E25,CV$5:CV$14))</f>
        <v>#DIV/0!</v>
      </c>
      <c r="CW26" s="74" t="e">
        <f t="array" ref="CW26">_xlfn.STDEV.P(IF($E$5:$E$14=$E25,CW$5:CW$14))</f>
        <v>#DIV/0!</v>
      </c>
      <c r="CX26" s="74" t="e">
        <f t="array" ref="CX26">_xlfn.STDEV.P(IF($E$5:$E$14=$E25,CX$5:CX$14))</f>
        <v>#DIV/0!</v>
      </c>
      <c r="CY26" s="76"/>
    </row>
    <row r="27" spans="1:103" ht="15">
      <c r="A27" s="113"/>
      <c r="E27" s="118"/>
      <c r="I27" s="52"/>
    </row>
    <row r="28" spans="1:103" ht="14.25" customHeight="1">
      <c r="A28" s="113"/>
      <c r="E28" s="118" t="str">
        <f>'AsPc1 REPEAT Groups'!C9</f>
        <v>Group 4</v>
      </c>
      <c r="I28" s="118" t="str">
        <f>E28</f>
        <v>Group 4</v>
      </c>
      <c r="J28" s="318" t="e">
        <f>AVERAGEIF($E$5:$E$14,$E28,J$5:J$14)</f>
        <v>#DIV/0!</v>
      </c>
      <c r="K28" s="72" t="s">
        <v>9</v>
      </c>
      <c r="L28" s="78" t="e">
        <f t="shared" ref="L28:BD28" si="16">AVERAGEIF($E$5:$E$14,$E28,L$5:L$14)</f>
        <v>#DIV/0!</v>
      </c>
      <c r="M28" s="78" t="e">
        <f t="shared" si="16"/>
        <v>#DIV/0!</v>
      </c>
      <c r="N28" s="78" t="e">
        <f t="shared" si="16"/>
        <v>#DIV/0!</v>
      </c>
      <c r="O28" s="78" t="e">
        <f t="shared" si="16"/>
        <v>#DIV/0!</v>
      </c>
      <c r="P28" s="78" t="e">
        <f t="shared" si="16"/>
        <v>#DIV/0!</v>
      </c>
      <c r="Q28" s="78" t="e">
        <f t="shared" si="16"/>
        <v>#DIV/0!</v>
      </c>
      <c r="R28" s="78" t="e">
        <f t="shared" si="16"/>
        <v>#DIV/0!</v>
      </c>
      <c r="S28" s="78" t="e">
        <f t="shared" si="16"/>
        <v>#DIV/0!</v>
      </c>
      <c r="T28" s="78" t="e">
        <f t="shared" si="16"/>
        <v>#DIV/0!</v>
      </c>
      <c r="U28" s="78" t="e">
        <f t="shared" si="16"/>
        <v>#DIV/0!</v>
      </c>
      <c r="V28" s="78" t="e">
        <f t="shared" si="16"/>
        <v>#DIV/0!</v>
      </c>
      <c r="W28" s="78" t="e">
        <f t="shared" si="16"/>
        <v>#DIV/0!</v>
      </c>
      <c r="X28" s="78" t="e">
        <f t="shared" si="16"/>
        <v>#DIV/0!</v>
      </c>
      <c r="Y28" s="78" t="e">
        <f t="shared" si="16"/>
        <v>#DIV/0!</v>
      </c>
      <c r="Z28" s="78" t="e">
        <f t="shared" si="16"/>
        <v>#DIV/0!</v>
      </c>
      <c r="AA28" s="78" t="e">
        <f t="shared" si="16"/>
        <v>#DIV/0!</v>
      </c>
      <c r="AB28" s="78" t="e">
        <f t="shared" si="16"/>
        <v>#DIV/0!</v>
      </c>
      <c r="AC28" s="78" t="e">
        <f t="shared" si="16"/>
        <v>#DIV/0!</v>
      </c>
      <c r="AD28" s="78" t="e">
        <f t="shared" si="16"/>
        <v>#DIV/0!</v>
      </c>
      <c r="AE28" s="78" t="e">
        <f t="shared" si="16"/>
        <v>#DIV/0!</v>
      </c>
      <c r="AF28" s="78" t="e">
        <f t="shared" si="16"/>
        <v>#DIV/0!</v>
      </c>
      <c r="AG28" s="78" t="e">
        <f t="shared" si="16"/>
        <v>#DIV/0!</v>
      </c>
      <c r="AH28" s="78" t="e">
        <f t="shared" si="16"/>
        <v>#DIV/0!</v>
      </c>
      <c r="AI28" s="78" t="e">
        <f t="shared" si="16"/>
        <v>#DIV/0!</v>
      </c>
      <c r="AJ28" s="78" t="e">
        <f t="shared" si="16"/>
        <v>#DIV/0!</v>
      </c>
      <c r="AK28" s="78" t="e">
        <f t="shared" si="16"/>
        <v>#DIV/0!</v>
      </c>
      <c r="AL28" s="78" t="e">
        <f t="shared" si="16"/>
        <v>#DIV/0!</v>
      </c>
      <c r="AM28" s="78" t="e">
        <f t="shared" si="16"/>
        <v>#DIV/0!</v>
      </c>
      <c r="AN28" s="78" t="e">
        <f t="shared" si="16"/>
        <v>#DIV/0!</v>
      </c>
      <c r="AO28" s="78" t="e">
        <f t="shared" si="16"/>
        <v>#DIV/0!</v>
      </c>
      <c r="AP28" s="78" t="e">
        <f t="shared" si="16"/>
        <v>#DIV/0!</v>
      </c>
      <c r="AQ28" s="78" t="e">
        <f t="shared" si="16"/>
        <v>#DIV/0!</v>
      </c>
      <c r="AR28" s="78" t="e">
        <f t="shared" si="16"/>
        <v>#DIV/0!</v>
      </c>
      <c r="AS28" s="78" t="e">
        <f t="shared" si="16"/>
        <v>#DIV/0!</v>
      </c>
      <c r="AT28" s="78" t="e">
        <f t="shared" si="16"/>
        <v>#DIV/0!</v>
      </c>
      <c r="AU28" s="78" t="e">
        <f t="shared" si="16"/>
        <v>#DIV/0!</v>
      </c>
      <c r="AV28" s="78" t="e">
        <f t="shared" si="16"/>
        <v>#DIV/0!</v>
      </c>
      <c r="AW28" s="78" t="e">
        <f t="shared" si="16"/>
        <v>#DIV/0!</v>
      </c>
      <c r="AX28" s="78" t="e">
        <f t="shared" si="16"/>
        <v>#DIV/0!</v>
      </c>
      <c r="AY28" s="78" t="e">
        <f t="shared" si="16"/>
        <v>#DIV/0!</v>
      </c>
      <c r="AZ28" s="78" t="e">
        <f t="shared" si="16"/>
        <v>#DIV/0!</v>
      </c>
      <c r="BA28" s="78" t="e">
        <f t="shared" si="16"/>
        <v>#DIV/0!</v>
      </c>
      <c r="BB28" s="78" t="e">
        <f t="shared" si="16"/>
        <v>#DIV/0!</v>
      </c>
      <c r="BC28" s="78" t="e">
        <f t="shared" si="16"/>
        <v>#DIV/0!</v>
      </c>
      <c r="BD28" s="78" t="e">
        <f t="shared" si="16"/>
        <v>#DIV/0!</v>
      </c>
      <c r="BE28" s="103" t="s">
        <v>9</v>
      </c>
      <c r="BF28" s="73" t="e">
        <f t="shared" ref="BF28:CX28" si="17">AVERAGEIF($E$5:$E$14,$E28,BF$5:BF$14)</f>
        <v>#DIV/0!</v>
      </c>
      <c r="BG28" s="73" t="e">
        <f t="shared" si="17"/>
        <v>#DIV/0!</v>
      </c>
      <c r="BH28" s="73" t="e">
        <f t="shared" si="17"/>
        <v>#DIV/0!</v>
      </c>
      <c r="BI28" s="73" t="e">
        <f t="shared" si="17"/>
        <v>#DIV/0!</v>
      </c>
      <c r="BJ28" s="73" t="e">
        <f t="shared" si="17"/>
        <v>#DIV/0!</v>
      </c>
      <c r="BK28" s="73" t="e">
        <f t="shared" si="17"/>
        <v>#DIV/0!</v>
      </c>
      <c r="BL28" s="73" t="e">
        <f t="shared" si="17"/>
        <v>#DIV/0!</v>
      </c>
      <c r="BM28" s="73" t="e">
        <f t="shared" si="17"/>
        <v>#DIV/0!</v>
      </c>
      <c r="BN28" s="73" t="e">
        <f t="shared" si="17"/>
        <v>#DIV/0!</v>
      </c>
      <c r="BO28" s="73" t="e">
        <f t="shared" si="17"/>
        <v>#DIV/0!</v>
      </c>
      <c r="BP28" s="73" t="e">
        <f t="shared" si="17"/>
        <v>#DIV/0!</v>
      </c>
      <c r="BQ28" s="73" t="e">
        <f t="shared" si="17"/>
        <v>#DIV/0!</v>
      </c>
      <c r="BR28" s="73" t="e">
        <f t="shared" si="17"/>
        <v>#DIV/0!</v>
      </c>
      <c r="BS28" s="73" t="e">
        <f t="shared" si="17"/>
        <v>#DIV/0!</v>
      </c>
      <c r="BT28" s="73" t="e">
        <f t="shared" si="17"/>
        <v>#DIV/0!</v>
      </c>
      <c r="BU28" s="73" t="e">
        <f t="shared" si="17"/>
        <v>#DIV/0!</v>
      </c>
      <c r="BV28" s="73" t="e">
        <f t="shared" si="17"/>
        <v>#DIV/0!</v>
      </c>
      <c r="BW28" s="73" t="e">
        <f t="shared" si="17"/>
        <v>#DIV/0!</v>
      </c>
      <c r="BX28" s="73" t="e">
        <f t="shared" si="17"/>
        <v>#DIV/0!</v>
      </c>
      <c r="BY28" s="73" t="e">
        <f t="shared" si="17"/>
        <v>#DIV/0!</v>
      </c>
      <c r="BZ28" s="73" t="e">
        <f t="shared" si="17"/>
        <v>#DIV/0!</v>
      </c>
      <c r="CA28" s="73" t="e">
        <f t="shared" si="17"/>
        <v>#DIV/0!</v>
      </c>
      <c r="CB28" s="73" t="e">
        <f t="shared" si="17"/>
        <v>#DIV/0!</v>
      </c>
      <c r="CC28" s="73" t="e">
        <f t="shared" si="17"/>
        <v>#DIV/0!</v>
      </c>
      <c r="CD28" s="73" t="e">
        <f t="shared" si="17"/>
        <v>#DIV/0!</v>
      </c>
      <c r="CE28" s="73" t="e">
        <f t="shared" si="17"/>
        <v>#DIV/0!</v>
      </c>
      <c r="CF28" s="73" t="e">
        <f t="shared" si="17"/>
        <v>#DIV/0!</v>
      </c>
      <c r="CG28" s="73" t="e">
        <f t="shared" si="17"/>
        <v>#DIV/0!</v>
      </c>
      <c r="CH28" s="73" t="e">
        <f t="shared" si="17"/>
        <v>#DIV/0!</v>
      </c>
      <c r="CI28" s="73" t="e">
        <f t="shared" si="17"/>
        <v>#DIV/0!</v>
      </c>
      <c r="CJ28" s="73" t="e">
        <f t="shared" si="17"/>
        <v>#DIV/0!</v>
      </c>
      <c r="CK28" s="73" t="e">
        <f t="shared" si="17"/>
        <v>#DIV/0!</v>
      </c>
      <c r="CL28" s="73" t="e">
        <f t="shared" si="17"/>
        <v>#DIV/0!</v>
      </c>
      <c r="CM28" s="73" t="e">
        <f t="shared" si="17"/>
        <v>#DIV/0!</v>
      </c>
      <c r="CN28" s="73" t="e">
        <f t="shared" si="17"/>
        <v>#DIV/0!</v>
      </c>
      <c r="CO28" s="73" t="e">
        <f t="shared" si="17"/>
        <v>#DIV/0!</v>
      </c>
      <c r="CP28" s="73" t="e">
        <f t="shared" si="17"/>
        <v>#DIV/0!</v>
      </c>
      <c r="CQ28" s="73" t="e">
        <f t="shared" si="17"/>
        <v>#DIV/0!</v>
      </c>
      <c r="CR28" s="73" t="e">
        <f t="shared" si="17"/>
        <v>#DIV/0!</v>
      </c>
      <c r="CS28" s="73" t="e">
        <f t="shared" si="17"/>
        <v>#DIV/0!</v>
      </c>
      <c r="CT28" s="73" t="e">
        <f t="shared" si="17"/>
        <v>#DIV/0!</v>
      </c>
      <c r="CU28" s="73" t="e">
        <f t="shared" si="17"/>
        <v>#DIV/0!</v>
      </c>
      <c r="CV28" s="73" t="e">
        <f t="shared" si="17"/>
        <v>#DIV/0!</v>
      </c>
      <c r="CW28" s="73" t="e">
        <f t="shared" si="17"/>
        <v>#DIV/0!</v>
      </c>
      <c r="CX28" s="73" t="e">
        <f t="shared" si="17"/>
        <v>#DIV/0!</v>
      </c>
      <c r="CY28" s="76"/>
    </row>
    <row r="29" spans="1:103" ht="14.25" customHeight="1">
      <c r="A29" s="113"/>
      <c r="E29" s="93"/>
      <c r="I29" s="93"/>
      <c r="J29" s="318" t="e">
        <f t="array" ref="J29">_xlfn.STDEV.P(IF($E$5:$E$14=$E28,J$5:J$14))</f>
        <v>#DIV/0!</v>
      </c>
      <c r="K29" s="72" t="s">
        <v>11</v>
      </c>
      <c r="L29" s="81" t="e">
        <f t="array" ref="L29">_xlfn.STDEV.P(IF($E$5:$E$14=$E28,L$5:L$14))</f>
        <v>#DIV/0!</v>
      </c>
      <c r="M29" s="81" t="e">
        <f t="array" ref="M29">_xlfn.STDEV.P(IF($E$5:$E$14=$E28,M$5:M$14))</f>
        <v>#DIV/0!</v>
      </c>
      <c r="N29" s="81" t="e">
        <f t="array" ref="N29">_xlfn.STDEV.P(IF($E$5:$E$14=$E28,N$5:N$14))</f>
        <v>#DIV/0!</v>
      </c>
      <c r="O29" s="81" t="e">
        <f t="array" ref="O29">_xlfn.STDEV.P(IF($E$5:$E$14=$E28,O$5:O$14))</f>
        <v>#DIV/0!</v>
      </c>
      <c r="P29" s="81" t="e">
        <f t="array" ref="P29">_xlfn.STDEV.P(IF($E$5:$E$14=$E28,P$5:P$14))</f>
        <v>#DIV/0!</v>
      </c>
      <c r="Q29" s="81" t="e">
        <f t="array" ref="Q29">_xlfn.STDEV.P(IF($E$5:$E$14=$E28,Q$5:Q$14))</f>
        <v>#DIV/0!</v>
      </c>
      <c r="R29" s="81" t="e">
        <f t="array" ref="R29">_xlfn.STDEV.P(IF($E$5:$E$14=$E28,R$5:R$14))</f>
        <v>#DIV/0!</v>
      </c>
      <c r="S29" s="81" t="e">
        <f t="array" ref="S29">_xlfn.STDEV.P(IF($E$5:$E$14=$E28,S$5:S$14))</f>
        <v>#DIV/0!</v>
      </c>
      <c r="T29" s="81" t="e">
        <f t="array" ref="T29">_xlfn.STDEV.P(IF($E$5:$E$14=$E28,T$5:T$14))</f>
        <v>#DIV/0!</v>
      </c>
      <c r="U29" s="81" t="e">
        <f t="array" ref="U29">_xlfn.STDEV.P(IF($E$5:$E$14=$E28,U$5:U$14))</f>
        <v>#DIV/0!</v>
      </c>
      <c r="V29" s="81" t="e">
        <f t="array" ref="V29">_xlfn.STDEV.P(IF($E$5:$E$14=$E28,V$5:V$14))</f>
        <v>#DIV/0!</v>
      </c>
      <c r="W29" s="81" t="e">
        <f t="array" ref="W29">_xlfn.STDEV.P(IF($E$5:$E$14=$E28,W$5:W$14))</f>
        <v>#DIV/0!</v>
      </c>
      <c r="X29" s="81" t="e">
        <f t="array" ref="X29">_xlfn.STDEV.P(IF($E$5:$E$14=$E28,X$5:X$14))</f>
        <v>#DIV/0!</v>
      </c>
      <c r="Y29" s="81" t="e">
        <f t="array" ref="Y29">_xlfn.STDEV.P(IF($E$5:$E$14=$E28,Y$5:Y$14))</f>
        <v>#DIV/0!</v>
      </c>
      <c r="Z29" s="81" t="e">
        <f t="array" ref="Z29">_xlfn.STDEV.P(IF($E$5:$E$14=$E28,Z$5:Z$14))</f>
        <v>#DIV/0!</v>
      </c>
      <c r="AA29" s="81" t="e">
        <f t="array" ref="AA29">_xlfn.STDEV.P(IF($E$5:$E$14=$E28,AA$5:AA$14))</f>
        <v>#DIV/0!</v>
      </c>
      <c r="AB29" s="81" t="e">
        <f t="array" ref="AB29">_xlfn.STDEV.P(IF($E$5:$E$14=$E28,AB$5:AB$14))</f>
        <v>#DIV/0!</v>
      </c>
      <c r="AC29" s="81" t="e">
        <f t="array" ref="AC29">_xlfn.STDEV.P(IF($E$5:$E$14=$E28,AC$5:AC$14))</f>
        <v>#DIV/0!</v>
      </c>
      <c r="AD29" s="81" t="e">
        <f t="array" ref="AD29">_xlfn.STDEV.P(IF($E$5:$E$14=$E28,AD$5:AD$14))</f>
        <v>#DIV/0!</v>
      </c>
      <c r="AE29" s="81" t="e">
        <f t="array" ref="AE29">_xlfn.STDEV.P(IF($E$5:$E$14=$E28,AE$5:AE$14))</f>
        <v>#DIV/0!</v>
      </c>
      <c r="AF29" s="81" t="e">
        <f t="array" ref="AF29">_xlfn.STDEV.P(IF($E$5:$E$14=$E28,AF$5:AF$14))</f>
        <v>#DIV/0!</v>
      </c>
      <c r="AG29" s="81" t="e">
        <f t="array" ref="AG29">_xlfn.STDEV.P(IF($E$5:$E$14=$E28,AG$5:AG$14))</f>
        <v>#DIV/0!</v>
      </c>
      <c r="AH29" s="81" t="e">
        <f t="array" ref="AH29">_xlfn.STDEV.P(IF($E$5:$E$14=$E28,AH$5:AH$14))</f>
        <v>#DIV/0!</v>
      </c>
      <c r="AI29" s="81" t="e">
        <f t="array" ref="AI29">_xlfn.STDEV.P(IF($E$5:$E$14=$E28,AI$5:AI$14))</f>
        <v>#DIV/0!</v>
      </c>
      <c r="AJ29" s="81" t="e">
        <f t="array" ref="AJ29">_xlfn.STDEV.P(IF($E$5:$E$14=$E28,AJ$5:AJ$14))</f>
        <v>#DIV/0!</v>
      </c>
      <c r="AK29" s="81" t="e">
        <f t="array" ref="AK29">_xlfn.STDEV.P(IF($E$5:$E$14=$E28,AK$5:AK$14))</f>
        <v>#DIV/0!</v>
      </c>
      <c r="AL29" s="81" t="e">
        <f t="array" ref="AL29">_xlfn.STDEV.P(IF($E$5:$E$14=$E28,AL$5:AL$14))</f>
        <v>#DIV/0!</v>
      </c>
      <c r="AM29" s="81" t="e">
        <f t="array" ref="AM29">_xlfn.STDEV.P(IF($E$5:$E$14=$E28,AM$5:AM$14))</f>
        <v>#DIV/0!</v>
      </c>
      <c r="AN29" s="81" t="e">
        <f t="array" ref="AN29">_xlfn.STDEV.P(IF($E$5:$E$14=$E28,AN$5:AN$14))</f>
        <v>#DIV/0!</v>
      </c>
      <c r="AO29" s="81" t="e">
        <f t="array" ref="AO29">_xlfn.STDEV.P(IF($E$5:$E$14=$E28,AO$5:AO$14))</f>
        <v>#DIV/0!</v>
      </c>
      <c r="AP29" s="81" t="e">
        <f t="array" ref="AP29">_xlfn.STDEV.P(IF($E$5:$E$14=$E28,AP$5:AP$14))</f>
        <v>#DIV/0!</v>
      </c>
      <c r="AQ29" s="81" t="e">
        <f t="array" ref="AQ29">_xlfn.STDEV.P(IF($E$5:$E$14=$E28,AQ$5:AQ$14))</f>
        <v>#DIV/0!</v>
      </c>
      <c r="AR29" s="81" t="e">
        <f t="array" ref="AR29">_xlfn.STDEV.P(IF($E$5:$E$14=$E28,AR$5:AR$14))</f>
        <v>#DIV/0!</v>
      </c>
      <c r="AS29" s="81" t="e">
        <f t="array" ref="AS29">_xlfn.STDEV.P(IF($E$5:$E$14=$E28,AS$5:AS$14))</f>
        <v>#DIV/0!</v>
      </c>
      <c r="AT29" s="81" t="e">
        <f t="array" ref="AT29">_xlfn.STDEV.P(IF($E$5:$E$14=$E28,AT$5:AT$14))</f>
        <v>#DIV/0!</v>
      </c>
      <c r="AU29" s="81" t="e">
        <f t="array" ref="AU29">_xlfn.STDEV.P(IF($E$5:$E$14=$E28,AU$5:AU$14))</f>
        <v>#DIV/0!</v>
      </c>
      <c r="AV29" s="81" t="e">
        <f t="array" ref="AV29">_xlfn.STDEV.P(IF($E$5:$E$14=$E28,AV$5:AV$14))</f>
        <v>#DIV/0!</v>
      </c>
      <c r="AW29" s="81" t="e">
        <f t="array" ref="AW29">_xlfn.STDEV.P(IF($E$5:$E$14=$E28,AW$5:AW$14))</f>
        <v>#DIV/0!</v>
      </c>
      <c r="AX29" s="81" t="e">
        <f t="array" ref="AX29">_xlfn.STDEV.P(IF($E$5:$E$14=$E28,AX$5:AX$14))</f>
        <v>#DIV/0!</v>
      </c>
      <c r="AY29" s="81" t="e">
        <f t="array" ref="AY29">_xlfn.STDEV.P(IF($E$5:$E$14=$E28,AY$5:AY$14))</f>
        <v>#DIV/0!</v>
      </c>
      <c r="AZ29" s="81" t="e">
        <f t="array" ref="AZ29">_xlfn.STDEV.P(IF($E$5:$E$14=$E28,AZ$5:AZ$14))</f>
        <v>#DIV/0!</v>
      </c>
      <c r="BA29" s="81" t="e">
        <f t="array" ref="BA29">_xlfn.STDEV.P(IF($E$5:$E$14=$E28,BA$5:BA$14))</f>
        <v>#DIV/0!</v>
      </c>
      <c r="BB29" s="81" t="e">
        <f t="array" ref="BB29">_xlfn.STDEV.P(IF($E$5:$E$14=$E28,BB$5:BB$14))</f>
        <v>#DIV/0!</v>
      </c>
      <c r="BC29" s="81" t="e">
        <f t="array" ref="BC29">_xlfn.STDEV.P(IF($E$5:$E$14=$E28,BC$5:BC$14))</f>
        <v>#DIV/0!</v>
      </c>
      <c r="BD29" s="81" t="e">
        <f t="array" ref="BD29">_xlfn.STDEV.P(IF($E$5:$E$14=$E28,BD$5:BD$14))</f>
        <v>#DIV/0!</v>
      </c>
      <c r="BE29" s="104" t="s">
        <v>11</v>
      </c>
      <c r="BF29" s="74" t="e">
        <f t="array" ref="BF29">_xlfn.STDEV.P(IF($E$5:$E$14=$E28,BF$5:BF$14))</f>
        <v>#DIV/0!</v>
      </c>
      <c r="BG29" s="74" t="e">
        <f t="array" ref="BG29">_xlfn.STDEV.P(IF($E$5:$E$14=$E28,BG$5:BG$14))</f>
        <v>#DIV/0!</v>
      </c>
      <c r="BH29" s="74" t="e">
        <f t="array" ref="BH29">_xlfn.STDEV.P(IF($E$5:$E$14=$E28,BH$5:BH$14))</f>
        <v>#DIV/0!</v>
      </c>
      <c r="BI29" s="74" t="e">
        <f t="array" ref="BI29">_xlfn.STDEV.P(IF($E$5:$E$14=$E28,BI$5:BI$14))</f>
        <v>#DIV/0!</v>
      </c>
      <c r="BJ29" s="74" t="e">
        <f t="array" ref="BJ29">_xlfn.STDEV.P(IF($E$5:$E$14=$E28,BJ$5:BJ$14))</f>
        <v>#DIV/0!</v>
      </c>
      <c r="BK29" s="74" t="e">
        <f t="array" ref="BK29">_xlfn.STDEV.P(IF($E$5:$E$14=$E28,BK$5:BK$14))</f>
        <v>#DIV/0!</v>
      </c>
      <c r="BL29" s="74" t="e">
        <f t="array" ref="BL29">_xlfn.STDEV.P(IF($E$5:$E$14=$E28,BL$5:BL$14))</f>
        <v>#DIV/0!</v>
      </c>
      <c r="BM29" s="74" t="e">
        <f t="array" ref="BM29">_xlfn.STDEV.P(IF($E$5:$E$14=$E28,BM$5:BM$14))</f>
        <v>#DIV/0!</v>
      </c>
      <c r="BN29" s="74" t="e">
        <f t="array" ref="BN29">_xlfn.STDEV.P(IF($E$5:$E$14=$E28,BN$5:BN$14))</f>
        <v>#DIV/0!</v>
      </c>
      <c r="BO29" s="74" t="e">
        <f t="array" ref="BO29">_xlfn.STDEV.P(IF($E$5:$E$14=$E28,BO$5:BO$14))</f>
        <v>#DIV/0!</v>
      </c>
      <c r="BP29" s="74" t="e">
        <f t="array" ref="BP29">_xlfn.STDEV.P(IF($E$5:$E$14=$E28,BP$5:BP$14))</f>
        <v>#DIV/0!</v>
      </c>
      <c r="BQ29" s="74" t="e">
        <f t="array" ref="BQ29">_xlfn.STDEV.P(IF($E$5:$E$14=$E28,BQ$5:BQ$14))</f>
        <v>#DIV/0!</v>
      </c>
      <c r="BR29" s="74" t="e">
        <f t="array" ref="BR29">_xlfn.STDEV.P(IF($E$5:$E$14=$E28,BR$5:BR$14))</f>
        <v>#DIV/0!</v>
      </c>
      <c r="BS29" s="74" t="e">
        <f t="array" ref="BS29">_xlfn.STDEV.P(IF($E$5:$E$14=$E28,BS$5:BS$14))</f>
        <v>#DIV/0!</v>
      </c>
      <c r="BT29" s="74" t="e">
        <f t="array" ref="BT29">_xlfn.STDEV.P(IF($E$5:$E$14=$E28,BT$5:BT$14))</f>
        <v>#DIV/0!</v>
      </c>
      <c r="BU29" s="74" t="e">
        <f t="array" ref="BU29">_xlfn.STDEV.P(IF($E$5:$E$14=$E28,BU$5:BU$14))</f>
        <v>#DIV/0!</v>
      </c>
      <c r="BV29" s="74" t="e">
        <f t="array" ref="BV29">_xlfn.STDEV.P(IF($E$5:$E$14=$E28,BV$5:BV$14))</f>
        <v>#DIV/0!</v>
      </c>
      <c r="BW29" s="74" t="e">
        <f t="array" ref="BW29">_xlfn.STDEV.P(IF($E$5:$E$14=$E28,BW$5:BW$14))</f>
        <v>#DIV/0!</v>
      </c>
      <c r="BX29" s="74" t="e">
        <f t="array" ref="BX29">_xlfn.STDEV.P(IF($E$5:$E$14=$E28,BX$5:BX$14))</f>
        <v>#DIV/0!</v>
      </c>
      <c r="BY29" s="74" t="e">
        <f t="array" ref="BY29">_xlfn.STDEV.P(IF($E$5:$E$14=$E28,BY$5:BY$14))</f>
        <v>#DIV/0!</v>
      </c>
      <c r="BZ29" s="74" t="e">
        <f t="array" ref="BZ29">_xlfn.STDEV.P(IF($E$5:$E$14=$E28,BZ$5:BZ$14))</f>
        <v>#DIV/0!</v>
      </c>
      <c r="CA29" s="74" t="e">
        <f t="array" ref="CA29">_xlfn.STDEV.P(IF($E$5:$E$14=$E28,CA$5:CA$14))</f>
        <v>#DIV/0!</v>
      </c>
      <c r="CB29" s="74" t="e">
        <f t="array" ref="CB29">_xlfn.STDEV.P(IF($E$5:$E$14=$E28,CB$5:CB$14))</f>
        <v>#DIV/0!</v>
      </c>
      <c r="CC29" s="74" t="e">
        <f t="array" ref="CC29">_xlfn.STDEV.P(IF($E$5:$E$14=$E28,CC$5:CC$14))</f>
        <v>#DIV/0!</v>
      </c>
      <c r="CD29" s="74" t="e">
        <f t="array" ref="CD29">_xlfn.STDEV.P(IF($E$5:$E$14=$E28,CD$5:CD$14))</f>
        <v>#DIV/0!</v>
      </c>
      <c r="CE29" s="74" t="e">
        <f t="array" ref="CE29">_xlfn.STDEV.P(IF($E$5:$E$14=$E28,CE$5:CE$14))</f>
        <v>#DIV/0!</v>
      </c>
      <c r="CF29" s="74" t="e">
        <f t="array" ref="CF29">_xlfn.STDEV.P(IF($E$5:$E$14=$E28,CF$5:CF$14))</f>
        <v>#DIV/0!</v>
      </c>
      <c r="CG29" s="74" t="e">
        <f t="array" ref="CG29">_xlfn.STDEV.P(IF($E$5:$E$14=$E28,CG$5:CG$14))</f>
        <v>#DIV/0!</v>
      </c>
      <c r="CH29" s="74" t="e">
        <f t="array" ref="CH29">_xlfn.STDEV.P(IF($E$5:$E$14=$E28,CH$5:CH$14))</f>
        <v>#DIV/0!</v>
      </c>
      <c r="CI29" s="74" t="e">
        <f t="array" ref="CI29">_xlfn.STDEV.P(IF($E$5:$E$14=$E28,CI$5:CI$14))</f>
        <v>#DIV/0!</v>
      </c>
      <c r="CJ29" s="74" t="e">
        <f t="array" ref="CJ29">_xlfn.STDEV.P(IF($E$5:$E$14=$E28,CJ$5:CJ$14))</f>
        <v>#DIV/0!</v>
      </c>
      <c r="CK29" s="74" t="e">
        <f t="array" ref="CK29">_xlfn.STDEV.P(IF($E$5:$E$14=$E28,CK$5:CK$14))</f>
        <v>#DIV/0!</v>
      </c>
      <c r="CL29" s="74" t="e">
        <f t="array" ref="CL29">_xlfn.STDEV.P(IF($E$5:$E$14=$E28,CL$5:CL$14))</f>
        <v>#DIV/0!</v>
      </c>
      <c r="CM29" s="74" t="e">
        <f t="array" ref="CM29">_xlfn.STDEV.P(IF($E$5:$E$14=$E28,CM$5:CM$14))</f>
        <v>#DIV/0!</v>
      </c>
      <c r="CN29" s="74" t="e">
        <f t="array" ref="CN29">_xlfn.STDEV.P(IF($E$5:$E$14=$E28,CN$5:CN$14))</f>
        <v>#DIV/0!</v>
      </c>
      <c r="CO29" s="74" t="e">
        <f t="array" ref="CO29">_xlfn.STDEV.P(IF($E$5:$E$14=$E28,CO$5:CO$14))</f>
        <v>#DIV/0!</v>
      </c>
      <c r="CP29" s="74" t="e">
        <f t="array" ref="CP29">_xlfn.STDEV.P(IF($E$5:$E$14=$E28,CP$5:CP$14))</f>
        <v>#DIV/0!</v>
      </c>
      <c r="CQ29" s="74" t="e">
        <f t="array" ref="CQ29">_xlfn.STDEV.P(IF($E$5:$E$14=$E28,CQ$5:CQ$14))</f>
        <v>#DIV/0!</v>
      </c>
      <c r="CR29" s="74" t="e">
        <f t="array" ref="CR29">_xlfn.STDEV.P(IF($E$5:$E$14=$E28,CR$5:CR$14))</f>
        <v>#DIV/0!</v>
      </c>
      <c r="CS29" s="74" t="e">
        <f t="array" ref="CS29">_xlfn.STDEV.P(IF($E$5:$E$14=$E28,CS$5:CS$14))</f>
        <v>#DIV/0!</v>
      </c>
      <c r="CT29" s="74" t="e">
        <f t="array" ref="CT29">_xlfn.STDEV.P(IF($E$5:$E$14=$E28,CT$5:CT$14))</f>
        <v>#DIV/0!</v>
      </c>
      <c r="CU29" s="74" t="e">
        <f t="array" ref="CU29">_xlfn.STDEV.P(IF($E$5:$E$14=$E28,CU$5:CU$14))</f>
        <v>#DIV/0!</v>
      </c>
      <c r="CV29" s="74" t="e">
        <f t="array" ref="CV29">_xlfn.STDEV.P(IF($E$5:$E$14=$E28,CV$5:CV$14))</f>
        <v>#DIV/0!</v>
      </c>
      <c r="CW29" s="74" t="e">
        <f t="array" ref="CW29">_xlfn.STDEV.P(IF($E$5:$E$14=$E28,CW$5:CW$14))</f>
        <v>#DIV/0!</v>
      </c>
      <c r="CX29" s="74" t="e">
        <f t="array" ref="CX29">_xlfn.STDEV.P(IF($E$5:$E$14=$E28,CX$5:CX$14))</f>
        <v>#DIV/0!</v>
      </c>
      <c r="CY29" s="76"/>
    </row>
    <row r="30" spans="1:103" ht="15">
      <c r="A30" s="113"/>
      <c r="E30" s="118"/>
      <c r="I30" s="52"/>
    </row>
    <row r="31" spans="1:103" ht="14.25" customHeight="1">
      <c r="A31" s="113"/>
      <c r="E31" s="118" t="str">
        <f>'AsPc1 REPEAT Groups'!C10</f>
        <v>Group 5</v>
      </c>
      <c r="I31" s="118" t="str">
        <f>E31</f>
        <v>Group 5</v>
      </c>
      <c r="J31" s="318" t="e">
        <f>AVERAGEIF($E$5:$E$14,$E31,J$5:J$14)</f>
        <v>#DIV/0!</v>
      </c>
      <c r="K31" s="72" t="s">
        <v>9</v>
      </c>
      <c r="L31" s="78" t="e">
        <f t="shared" ref="L31:BD31" si="18">AVERAGEIF($E$5:$E$14,$E31,L$5:L$14)</f>
        <v>#DIV/0!</v>
      </c>
      <c r="M31" s="78" t="e">
        <f t="shared" si="18"/>
        <v>#DIV/0!</v>
      </c>
      <c r="N31" s="78" t="e">
        <f t="shared" si="18"/>
        <v>#DIV/0!</v>
      </c>
      <c r="O31" s="78" t="e">
        <f t="shared" si="18"/>
        <v>#DIV/0!</v>
      </c>
      <c r="P31" s="78" t="e">
        <f t="shared" si="18"/>
        <v>#DIV/0!</v>
      </c>
      <c r="Q31" s="78" t="e">
        <f t="shared" si="18"/>
        <v>#DIV/0!</v>
      </c>
      <c r="R31" s="78" t="e">
        <f t="shared" si="18"/>
        <v>#DIV/0!</v>
      </c>
      <c r="S31" s="78" t="e">
        <f t="shared" si="18"/>
        <v>#DIV/0!</v>
      </c>
      <c r="T31" s="78" t="e">
        <f t="shared" si="18"/>
        <v>#DIV/0!</v>
      </c>
      <c r="U31" s="78" t="e">
        <f t="shared" si="18"/>
        <v>#DIV/0!</v>
      </c>
      <c r="V31" s="78" t="e">
        <f t="shared" si="18"/>
        <v>#DIV/0!</v>
      </c>
      <c r="W31" s="78" t="e">
        <f t="shared" si="18"/>
        <v>#DIV/0!</v>
      </c>
      <c r="X31" s="78" t="e">
        <f t="shared" si="18"/>
        <v>#DIV/0!</v>
      </c>
      <c r="Y31" s="78" t="e">
        <f t="shared" si="18"/>
        <v>#DIV/0!</v>
      </c>
      <c r="Z31" s="78" t="e">
        <f t="shared" si="18"/>
        <v>#DIV/0!</v>
      </c>
      <c r="AA31" s="78" t="e">
        <f t="shared" si="18"/>
        <v>#DIV/0!</v>
      </c>
      <c r="AB31" s="78" t="e">
        <f t="shared" si="18"/>
        <v>#DIV/0!</v>
      </c>
      <c r="AC31" s="78" t="e">
        <f t="shared" si="18"/>
        <v>#DIV/0!</v>
      </c>
      <c r="AD31" s="78" t="e">
        <f t="shared" si="18"/>
        <v>#DIV/0!</v>
      </c>
      <c r="AE31" s="78" t="e">
        <f t="shared" si="18"/>
        <v>#DIV/0!</v>
      </c>
      <c r="AF31" s="78" t="e">
        <f t="shared" si="18"/>
        <v>#DIV/0!</v>
      </c>
      <c r="AG31" s="78" t="e">
        <f t="shared" si="18"/>
        <v>#DIV/0!</v>
      </c>
      <c r="AH31" s="78" t="e">
        <f t="shared" si="18"/>
        <v>#DIV/0!</v>
      </c>
      <c r="AI31" s="78" t="e">
        <f t="shared" si="18"/>
        <v>#DIV/0!</v>
      </c>
      <c r="AJ31" s="78" t="e">
        <f t="shared" si="18"/>
        <v>#DIV/0!</v>
      </c>
      <c r="AK31" s="78" t="e">
        <f t="shared" si="18"/>
        <v>#DIV/0!</v>
      </c>
      <c r="AL31" s="78" t="e">
        <f t="shared" si="18"/>
        <v>#DIV/0!</v>
      </c>
      <c r="AM31" s="78" t="e">
        <f t="shared" si="18"/>
        <v>#DIV/0!</v>
      </c>
      <c r="AN31" s="78" t="e">
        <f t="shared" si="18"/>
        <v>#DIV/0!</v>
      </c>
      <c r="AO31" s="78" t="e">
        <f t="shared" si="18"/>
        <v>#DIV/0!</v>
      </c>
      <c r="AP31" s="78" t="e">
        <f t="shared" si="18"/>
        <v>#DIV/0!</v>
      </c>
      <c r="AQ31" s="78" t="e">
        <f t="shared" si="18"/>
        <v>#DIV/0!</v>
      </c>
      <c r="AR31" s="78" t="e">
        <f t="shared" si="18"/>
        <v>#DIV/0!</v>
      </c>
      <c r="AS31" s="78" t="e">
        <f t="shared" si="18"/>
        <v>#DIV/0!</v>
      </c>
      <c r="AT31" s="78" t="e">
        <f t="shared" si="18"/>
        <v>#DIV/0!</v>
      </c>
      <c r="AU31" s="78" t="e">
        <f t="shared" si="18"/>
        <v>#DIV/0!</v>
      </c>
      <c r="AV31" s="78" t="e">
        <f t="shared" si="18"/>
        <v>#DIV/0!</v>
      </c>
      <c r="AW31" s="78" t="e">
        <f t="shared" si="18"/>
        <v>#DIV/0!</v>
      </c>
      <c r="AX31" s="78" t="e">
        <f t="shared" si="18"/>
        <v>#DIV/0!</v>
      </c>
      <c r="AY31" s="78" t="e">
        <f t="shared" si="18"/>
        <v>#DIV/0!</v>
      </c>
      <c r="AZ31" s="78" t="e">
        <f t="shared" si="18"/>
        <v>#DIV/0!</v>
      </c>
      <c r="BA31" s="78" t="e">
        <f t="shared" si="18"/>
        <v>#DIV/0!</v>
      </c>
      <c r="BB31" s="78" t="e">
        <f t="shared" si="18"/>
        <v>#DIV/0!</v>
      </c>
      <c r="BC31" s="78" t="e">
        <f t="shared" si="18"/>
        <v>#DIV/0!</v>
      </c>
      <c r="BD31" s="78" t="e">
        <f t="shared" si="18"/>
        <v>#DIV/0!</v>
      </c>
      <c r="BE31" s="103" t="s">
        <v>9</v>
      </c>
      <c r="BF31" s="73" t="e">
        <f t="shared" ref="BF31:CX31" si="19">AVERAGEIF($E$5:$E$14,$E31,BF$5:BF$14)</f>
        <v>#DIV/0!</v>
      </c>
      <c r="BG31" s="73" t="e">
        <f t="shared" si="19"/>
        <v>#DIV/0!</v>
      </c>
      <c r="BH31" s="73" t="e">
        <f t="shared" si="19"/>
        <v>#DIV/0!</v>
      </c>
      <c r="BI31" s="73" t="e">
        <f t="shared" si="19"/>
        <v>#DIV/0!</v>
      </c>
      <c r="BJ31" s="73" t="e">
        <f t="shared" si="19"/>
        <v>#DIV/0!</v>
      </c>
      <c r="BK31" s="73" t="e">
        <f t="shared" si="19"/>
        <v>#DIV/0!</v>
      </c>
      <c r="BL31" s="73" t="e">
        <f t="shared" si="19"/>
        <v>#DIV/0!</v>
      </c>
      <c r="BM31" s="73" t="e">
        <f t="shared" si="19"/>
        <v>#DIV/0!</v>
      </c>
      <c r="BN31" s="73" t="e">
        <f t="shared" si="19"/>
        <v>#DIV/0!</v>
      </c>
      <c r="BO31" s="73" t="e">
        <f t="shared" si="19"/>
        <v>#DIV/0!</v>
      </c>
      <c r="BP31" s="73" t="e">
        <f t="shared" si="19"/>
        <v>#DIV/0!</v>
      </c>
      <c r="BQ31" s="73" t="e">
        <f t="shared" si="19"/>
        <v>#DIV/0!</v>
      </c>
      <c r="BR31" s="73" t="e">
        <f t="shared" si="19"/>
        <v>#DIV/0!</v>
      </c>
      <c r="BS31" s="73" t="e">
        <f t="shared" si="19"/>
        <v>#DIV/0!</v>
      </c>
      <c r="BT31" s="73" t="e">
        <f t="shared" si="19"/>
        <v>#DIV/0!</v>
      </c>
      <c r="BU31" s="73" t="e">
        <f t="shared" si="19"/>
        <v>#DIV/0!</v>
      </c>
      <c r="BV31" s="73" t="e">
        <f t="shared" si="19"/>
        <v>#DIV/0!</v>
      </c>
      <c r="BW31" s="73" t="e">
        <f t="shared" si="19"/>
        <v>#DIV/0!</v>
      </c>
      <c r="BX31" s="73" t="e">
        <f t="shared" si="19"/>
        <v>#DIV/0!</v>
      </c>
      <c r="BY31" s="73" t="e">
        <f t="shared" si="19"/>
        <v>#DIV/0!</v>
      </c>
      <c r="BZ31" s="73" t="e">
        <f t="shared" si="19"/>
        <v>#DIV/0!</v>
      </c>
      <c r="CA31" s="73" t="e">
        <f t="shared" si="19"/>
        <v>#DIV/0!</v>
      </c>
      <c r="CB31" s="73" t="e">
        <f t="shared" si="19"/>
        <v>#DIV/0!</v>
      </c>
      <c r="CC31" s="73" t="e">
        <f t="shared" si="19"/>
        <v>#DIV/0!</v>
      </c>
      <c r="CD31" s="73" t="e">
        <f t="shared" si="19"/>
        <v>#DIV/0!</v>
      </c>
      <c r="CE31" s="73" t="e">
        <f t="shared" si="19"/>
        <v>#DIV/0!</v>
      </c>
      <c r="CF31" s="73" t="e">
        <f t="shared" si="19"/>
        <v>#DIV/0!</v>
      </c>
      <c r="CG31" s="73" t="e">
        <f t="shared" si="19"/>
        <v>#DIV/0!</v>
      </c>
      <c r="CH31" s="73" t="e">
        <f t="shared" si="19"/>
        <v>#DIV/0!</v>
      </c>
      <c r="CI31" s="73" t="e">
        <f t="shared" si="19"/>
        <v>#DIV/0!</v>
      </c>
      <c r="CJ31" s="73" t="e">
        <f t="shared" si="19"/>
        <v>#DIV/0!</v>
      </c>
      <c r="CK31" s="73" t="e">
        <f t="shared" si="19"/>
        <v>#DIV/0!</v>
      </c>
      <c r="CL31" s="73" t="e">
        <f t="shared" si="19"/>
        <v>#DIV/0!</v>
      </c>
      <c r="CM31" s="73" t="e">
        <f t="shared" si="19"/>
        <v>#DIV/0!</v>
      </c>
      <c r="CN31" s="73" t="e">
        <f t="shared" si="19"/>
        <v>#DIV/0!</v>
      </c>
      <c r="CO31" s="73" t="e">
        <f t="shared" si="19"/>
        <v>#DIV/0!</v>
      </c>
      <c r="CP31" s="73" t="e">
        <f t="shared" si="19"/>
        <v>#DIV/0!</v>
      </c>
      <c r="CQ31" s="73" t="e">
        <f t="shared" si="19"/>
        <v>#DIV/0!</v>
      </c>
      <c r="CR31" s="73" t="e">
        <f t="shared" si="19"/>
        <v>#DIV/0!</v>
      </c>
      <c r="CS31" s="73" t="e">
        <f t="shared" si="19"/>
        <v>#DIV/0!</v>
      </c>
      <c r="CT31" s="73" t="e">
        <f t="shared" si="19"/>
        <v>#DIV/0!</v>
      </c>
      <c r="CU31" s="73" t="e">
        <f t="shared" si="19"/>
        <v>#DIV/0!</v>
      </c>
      <c r="CV31" s="73" t="e">
        <f t="shared" si="19"/>
        <v>#DIV/0!</v>
      </c>
      <c r="CW31" s="73" t="e">
        <f t="shared" si="19"/>
        <v>#DIV/0!</v>
      </c>
      <c r="CX31" s="73" t="e">
        <f t="shared" si="19"/>
        <v>#DIV/0!</v>
      </c>
      <c r="CY31" s="76"/>
    </row>
    <row r="32" spans="1:103" ht="14.25" customHeight="1">
      <c r="A32" s="113"/>
      <c r="E32" s="93"/>
      <c r="I32" s="93"/>
      <c r="J32" s="318" t="e">
        <f t="array" ref="J32">_xlfn.STDEV.P(IF($E$5:$E$14=$E31,J$5:J$14))</f>
        <v>#DIV/0!</v>
      </c>
      <c r="K32" s="72" t="s">
        <v>11</v>
      </c>
      <c r="L32" s="81" t="e">
        <f t="array" ref="L32">_xlfn.STDEV.P(IF($E$5:$E$14=$E31,L$5:L$14))</f>
        <v>#DIV/0!</v>
      </c>
      <c r="M32" s="81" t="e">
        <f t="array" ref="M32">_xlfn.STDEV.P(IF($E$5:$E$14=$E31,M$5:M$14))</f>
        <v>#DIV/0!</v>
      </c>
      <c r="N32" s="81" t="e">
        <f t="array" ref="N32">_xlfn.STDEV.P(IF($E$5:$E$14=$E31,N$5:N$14))</f>
        <v>#DIV/0!</v>
      </c>
      <c r="O32" s="81" t="e">
        <f t="array" ref="O32">_xlfn.STDEV.P(IF($E$5:$E$14=$E31,O$5:O$14))</f>
        <v>#DIV/0!</v>
      </c>
      <c r="P32" s="81" t="e">
        <f t="array" ref="P32">_xlfn.STDEV.P(IF($E$5:$E$14=$E31,P$5:P$14))</f>
        <v>#DIV/0!</v>
      </c>
      <c r="Q32" s="81" t="e">
        <f t="array" ref="Q32">_xlfn.STDEV.P(IF($E$5:$E$14=$E31,Q$5:Q$14))</f>
        <v>#DIV/0!</v>
      </c>
      <c r="R32" s="81" t="e">
        <f t="array" ref="R32">_xlfn.STDEV.P(IF($E$5:$E$14=$E31,R$5:R$14))</f>
        <v>#DIV/0!</v>
      </c>
      <c r="S32" s="81" t="e">
        <f t="array" ref="S32">_xlfn.STDEV.P(IF($E$5:$E$14=$E31,S$5:S$14))</f>
        <v>#DIV/0!</v>
      </c>
      <c r="T32" s="81" t="e">
        <f t="array" ref="T32">_xlfn.STDEV.P(IF($E$5:$E$14=$E31,T$5:T$14))</f>
        <v>#DIV/0!</v>
      </c>
      <c r="U32" s="81" t="e">
        <f t="array" ref="U32">_xlfn.STDEV.P(IF($E$5:$E$14=$E31,U$5:U$14))</f>
        <v>#DIV/0!</v>
      </c>
      <c r="V32" s="81" t="e">
        <f t="array" ref="V32">_xlfn.STDEV.P(IF($E$5:$E$14=$E31,V$5:V$14))</f>
        <v>#DIV/0!</v>
      </c>
      <c r="W32" s="81" t="e">
        <f t="array" ref="W32">_xlfn.STDEV.P(IF($E$5:$E$14=$E31,W$5:W$14))</f>
        <v>#DIV/0!</v>
      </c>
      <c r="X32" s="81" t="e">
        <f t="array" ref="X32">_xlfn.STDEV.P(IF($E$5:$E$14=$E31,X$5:X$14))</f>
        <v>#DIV/0!</v>
      </c>
      <c r="Y32" s="81" t="e">
        <f t="array" ref="Y32">_xlfn.STDEV.P(IF($E$5:$E$14=$E31,Y$5:Y$14))</f>
        <v>#DIV/0!</v>
      </c>
      <c r="Z32" s="81" t="e">
        <f t="array" ref="Z32">_xlfn.STDEV.P(IF($E$5:$E$14=$E31,Z$5:Z$14))</f>
        <v>#DIV/0!</v>
      </c>
      <c r="AA32" s="81" t="e">
        <f t="array" ref="AA32">_xlfn.STDEV.P(IF($E$5:$E$14=$E31,AA$5:AA$14))</f>
        <v>#DIV/0!</v>
      </c>
      <c r="AB32" s="81" t="e">
        <f t="array" ref="AB32">_xlfn.STDEV.P(IF($E$5:$E$14=$E31,AB$5:AB$14))</f>
        <v>#DIV/0!</v>
      </c>
      <c r="AC32" s="81" t="e">
        <f t="array" ref="AC32">_xlfn.STDEV.P(IF($E$5:$E$14=$E31,AC$5:AC$14))</f>
        <v>#DIV/0!</v>
      </c>
      <c r="AD32" s="81" t="e">
        <f t="array" ref="AD32">_xlfn.STDEV.P(IF($E$5:$E$14=$E31,AD$5:AD$14))</f>
        <v>#DIV/0!</v>
      </c>
      <c r="AE32" s="81" t="e">
        <f t="array" ref="AE32">_xlfn.STDEV.P(IF($E$5:$E$14=$E31,AE$5:AE$14))</f>
        <v>#DIV/0!</v>
      </c>
      <c r="AF32" s="81" t="e">
        <f t="array" ref="AF32">_xlfn.STDEV.P(IF($E$5:$E$14=$E31,AF$5:AF$14))</f>
        <v>#DIV/0!</v>
      </c>
      <c r="AG32" s="81" t="e">
        <f t="array" ref="AG32">_xlfn.STDEV.P(IF($E$5:$E$14=$E31,AG$5:AG$14))</f>
        <v>#DIV/0!</v>
      </c>
      <c r="AH32" s="81" t="e">
        <f t="array" ref="AH32">_xlfn.STDEV.P(IF($E$5:$E$14=$E31,AH$5:AH$14))</f>
        <v>#DIV/0!</v>
      </c>
      <c r="AI32" s="81" t="e">
        <f t="array" ref="AI32">_xlfn.STDEV.P(IF($E$5:$E$14=$E31,AI$5:AI$14))</f>
        <v>#DIV/0!</v>
      </c>
      <c r="AJ32" s="81" t="e">
        <f t="array" ref="AJ32">_xlfn.STDEV.P(IF($E$5:$E$14=$E31,AJ$5:AJ$14))</f>
        <v>#DIV/0!</v>
      </c>
      <c r="AK32" s="81" t="e">
        <f t="array" ref="AK32">_xlfn.STDEV.P(IF($E$5:$E$14=$E31,AK$5:AK$14))</f>
        <v>#DIV/0!</v>
      </c>
      <c r="AL32" s="81" t="e">
        <f t="array" ref="AL32">_xlfn.STDEV.P(IF($E$5:$E$14=$E31,AL$5:AL$14))</f>
        <v>#DIV/0!</v>
      </c>
      <c r="AM32" s="81" t="e">
        <f t="array" ref="AM32">_xlfn.STDEV.P(IF($E$5:$E$14=$E31,AM$5:AM$14))</f>
        <v>#DIV/0!</v>
      </c>
      <c r="AN32" s="81" t="e">
        <f t="array" ref="AN32">_xlfn.STDEV.P(IF($E$5:$E$14=$E31,AN$5:AN$14))</f>
        <v>#DIV/0!</v>
      </c>
      <c r="AO32" s="81" t="e">
        <f t="array" ref="AO32">_xlfn.STDEV.P(IF($E$5:$E$14=$E31,AO$5:AO$14))</f>
        <v>#DIV/0!</v>
      </c>
      <c r="AP32" s="81" t="e">
        <f t="array" ref="AP32">_xlfn.STDEV.P(IF($E$5:$E$14=$E31,AP$5:AP$14))</f>
        <v>#DIV/0!</v>
      </c>
      <c r="AQ32" s="81" t="e">
        <f t="array" ref="AQ32">_xlfn.STDEV.P(IF($E$5:$E$14=$E31,AQ$5:AQ$14))</f>
        <v>#DIV/0!</v>
      </c>
      <c r="AR32" s="81" t="e">
        <f t="array" ref="AR32">_xlfn.STDEV.P(IF($E$5:$E$14=$E31,AR$5:AR$14))</f>
        <v>#DIV/0!</v>
      </c>
      <c r="AS32" s="81" t="e">
        <f t="array" ref="AS32">_xlfn.STDEV.P(IF($E$5:$E$14=$E31,AS$5:AS$14))</f>
        <v>#DIV/0!</v>
      </c>
      <c r="AT32" s="81" t="e">
        <f t="array" ref="AT32">_xlfn.STDEV.P(IF($E$5:$E$14=$E31,AT$5:AT$14))</f>
        <v>#DIV/0!</v>
      </c>
      <c r="AU32" s="81" t="e">
        <f t="array" ref="AU32">_xlfn.STDEV.P(IF($E$5:$E$14=$E31,AU$5:AU$14))</f>
        <v>#DIV/0!</v>
      </c>
      <c r="AV32" s="81" t="e">
        <f t="array" ref="AV32">_xlfn.STDEV.P(IF($E$5:$E$14=$E31,AV$5:AV$14))</f>
        <v>#DIV/0!</v>
      </c>
      <c r="AW32" s="81" t="e">
        <f t="array" ref="AW32">_xlfn.STDEV.P(IF($E$5:$E$14=$E31,AW$5:AW$14))</f>
        <v>#DIV/0!</v>
      </c>
      <c r="AX32" s="81" t="e">
        <f t="array" ref="AX32">_xlfn.STDEV.P(IF($E$5:$E$14=$E31,AX$5:AX$14))</f>
        <v>#DIV/0!</v>
      </c>
      <c r="AY32" s="81" t="e">
        <f t="array" ref="AY32">_xlfn.STDEV.P(IF($E$5:$E$14=$E31,AY$5:AY$14))</f>
        <v>#DIV/0!</v>
      </c>
      <c r="AZ32" s="81" t="e">
        <f t="array" ref="AZ32">_xlfn.STDEV.P(IF($E$5:$E$14=$E31,AZ$5:AZ$14))</f>
        <v>#DIV/0!</v>
      </c>
      <c r="BA32" s="81" t="e">
        <f t="array" ref="BA32">_xlfn.STDEV.P(IF($E$5:$E$14=$E31,BA$5:BA$14))</f>
        <v>#DIV/0!</v>
      </c>
      <c r="BB32" s="81" t="e">
        <f t="array" ref="BB32">_xlfn.STDEV.P(IF($E$5:$E$14=$E31,BB$5:BB$14))</f>
        <v>#DIV/0!</v>
      </c>
      <c r="BC32" s="81" t="e">
        <f t="array" ref="BC32">_xlfn.STDEV.P(IF($E$5:$E$14=$E31,BC$5:BC$14))</f>
        <v>#DIV/0!</v>
      </c>
      <c r="BD32" s="81" t="e">
        <f t="array" ref="BD32">_xlfn.STDEV.P(IF($E$5:$E$14=$E31,BD$5:BD$14))</f>
        <v>#DIV/0!</v>
      </c>
      <c r="BE32" s="104" t="s">
        <v>11</v>
      </c>
      <c r="BF32" s="74" t="e">
        <f t="array" ref="BF32">_xlfn.STDEV.P(IF($E$5:$E$14=$E31,BF$5:BF$14))</f>
        <v>#DIV/0!</v>
      </c>
      <c r="BG32" s="74" t="e">
        <f t="array" ref="BG32">_xlfn.STDEV.P(IF($E$5:$E$14=$E31,BG$5:BG$14))</f>
        <v>#DIV/0!</v>
      </c>
      <c r="BH32" s="74" t="e">
        <f t="array" ref="BH32">_xlfn.STDEV.P(IF($E$5:$E$14=$E31,BH$5:BH$14))</f>
        <v>#DIV/0!</v>
      </c>
      <c r="BI32" s="74" t="e">
        <f t="array" ref="BI32">_xlfn.STDEV.P(IF($E$5:$E$14=$E31,BI$5:BI$14))</f>
        <v>#DIV/0!</v>
      </c>
      <c r="BJ32" s="74" t="e">
        <f t="array" ref="BJ32">_xlfn.STDEV.P(IF($E$5:$E$14=$E31,BJ$5:BJ$14))</f>
        <v>#DIV/0!</v>
      </c>
      <c r="BK32" s="74" t="e">
        <f t="array" ref="BK32">_xlfn.STDEV.P(IF($E$5:$E$14=$E31,BK$5:BK$14))</f>
        <v>#DIV/0!</v>
      </c>
      <c r="BL32" s="74" t="e">
        <f t="array" ref="BL32">_xlfn.STDEV.P(IF($E$5:$E$14=$E31,BL$5:BL$14))</f>
        <v>#DIV/0!</v>
      </c>
      <c r="BM32" s="74" t="e">
        <f t="array" ref="BM32">_xlfn.STDEV.P(IF($E$5:$E$14=$E31,BM$5:BM$14))</f>
        <v>#DIV/0!</v>
      </c>
      <c r="BN32" s="74" t="e">
        <f t="array" ref="BN32">_xlfn.STDEV.P(IF($E$5:$E$14=$E31,BN$5:BN$14))</f>
        <v>#DIV/0!</v>
      </c>
      <c r="BO32" s="74" t="e">
        <f t="array" ref="BO32">_xlfn.STDEV.P(IF($E$5:$E$14=$E31,BO$5:BO$14))</f>
        <v>#DIV/0!</v>
      </c>
      <c r="BP32" s="74" t="e">
        <f t="array" ref="BP32">_xlfn.STDEV.P(IF($E$5:$E$14=$E31,BP$5:BP$14))</f>
        <v>#DIV/0!</v>
      </c>
      <c r="BQ32" s="74" t="e">
        <f t="array" ref="BQ32">_xlfn.STDEV.P(IF($E$5:$E$14=$E31,BQ$5:BQ$14))</f>
        <v>#DIV/0!</v>
      </c>
      <c r="BR32" s="74" t="e">
        <f t="array" ref="BR32">_xlfn.STDEV.P(IF($E$5:$E$14=$E31,BR$5:BR$14))</f>
        <v>#DIV/0!</v>
      </c>
      <c r="BS32" s="74" t="e">
        <f t="array" ref="BS32">_xlfn.STDEV.P(IF($E$5:$E$14=$E31,BS$5:BS$14))</f>
        <v>#DIV/0!</v>
      </c>
      <c r="BT32" s="74" t="e">
        <f t="array" ref="BT32">_xlfn.STDEV.P(IF($E$5:$E$14=$E31,BT$5:BT$14))</f>
        <v>#DIV/0!</v>
      </c>
      <c r="BU32" s="74" t="e">
        <f t="array" ref="BU32">_xlfn.STDEV.P(IF($E$5:$E$14=$E31,BU$5:BU$14))</f>
        <v>#DIV/0!</v>
      </c>
      <c r="BV32" s="74" t="e">
        <f t="array" ref="BV32">_xlfn.STDEV.P(IF($E$5:$E$14=$E31,BV$5:BV$14))</f>
        <v>#DIV/0!</v>
      </c>
      <c r="BW32" s="74" t="e">
        <f t="array" ref="BW32">_xlfn.STDEV.P(IF($E$5:$E$14=$E31,BW$5:BW$14))</f>
        <v>#DIV/0!</v>
      </c>
      <c r="BX32" s="74" t="e">
        <f t="array" ref="BX32">_xlfn.STDEV.P(IF($E$5:$E$14=$E31,BX$5:BX$14))</f>
        <v>#DIV/0!</v>
      </c>
      <c r="BY32" s="74" t="e">
        <f t="array" ref="BY32">_xlfn.STDEV.P(IF($E$5:$E$14=$E31,BY$5:BY$14))</f>
        <v>#DIV/0!</v>
      </c>
      <c r="BZ32" s="74" t="e">
        <f t="array" ref="BZ32">_xlfn.STDEV.P(IF($E$5:$E$14=$E31,BZ$5:BZ$14))</f>
        <v>#DIV/0!</v>
      </c>
      <c r="CA32" s="74" t="e">
        <f t="array" ref="CA32">_xlfn.STDEV.P(IF($E$5:$E$14=$E31,CA$5:CA$14))</f>
        <v>#DIV/0!</v>
      </c>
      <c r="CB32" s="74" t="e">
        <f t="array" ref="CB32">_xlfn.STDEV.P(IF($E$5:$E$14=$E31,CB$5:CB$14))</f>
        <v>#DIV/0!</v>
      </c>
      <c r="CC32" s="74" t="e">
        <f t="array" ref="CC32">_xlfn.STDEV.P(IF($E$5:$E$14=$E31,CC$5:CC$14))</f>
        <v>#DIV/0!</v>
      </c>
      <c r="CD32" s="74" t="e">
        <f t="array" ref="CD32">_xlfn.STDEV.P(IF($E$5:$E$14=$E31,CD$5:CD$14))</f>
        <v>#DIV/0!</v>
      </c>
      <c r="CE32" s="74" t="e">
        <f t="array" ref="CE32">_xlfn.STDEV.P(IF($E$5:$E$14=$E31,CE$5:CE$14))</f>
        <v>#DIV/0!</v>
      </c>
      <c r="CF32" s="74" t="e">
        <f t="array" ref="CF32">_xlfn.STDEV.P(IF($E$5:$E$14=$E31,CF$5:CF$14))</f>
        <v>#DIV/0!</v>
      </c>
      <c r="CG32" s="74" t="e">
        <f t="array" ref="CG32">_xlfn.STDEV.P(IF($E$5:$E$14=$E31,CG$5:CG$14))</f>
        <v>#DIV/0!</v>
      </c>
      <c r="CH32" s="74" t="e">
        <f t="array" ref="CH32">_xlfn.STDEV.P(IF($E$5:$E$14=$E31,CH$5:CH$14))</f>
        <v>#DIV/0!</v>
      </c>
      <c r="CI32" s="74" t="e">
        <f t="array" ref="CI32">_xlfn.STDEV.P(IF($E$5:$E$14=$E31,CI$5:CI$14))</f>
        <v>#DIV/0!</v>
      </c>
      <c r="CJ32" s="74" t="e">
        <f t="array" ref="CJ32">_xlfn.STDEV.P(IF($E$5:$E$14=$E31,CJ$5:CJ$14))</f>
        <v>#DIV/0!</v>
      </c>
      <c r="CK32" s="74" t="e">
        <f t="array" ref="CK32">_xlfn.STDEV.P(IF($E$5:$E$14=$E31,CK$5:CK$14))</f>
        <v>#DIV/0!</v>
      </c>
      <c r="CL32" s="74" t="e">
        <f t="array" ref="CL32">_xlfn.STDEV.P(IF($E$5:$E$14=$E31,CL$5:CL$14))</f>
        <v>#DIV/0!</v>
      </c>
      <c r="CM32" s="74" t="e">
        <f t="array" ref="CM32">_xlfn.STDEV.P(IF($E$5:$E$14=$E31,CM$5:CM$14))</f>
        <v>#DIV/0!</v>
      </c>
      <c r="CN32" s="74" t="e">
        <f t="array" ref="CN32">_xlfn.STDEV.P(IF($E$5:$E$14=$E31,CN$5:CN$14))</f>
        <v>#DIV/0!</v>
      </c>
      <c r="CO32" s="74" t="e">
        <f t="array" ref="CO32">_xlfn.STDEV.P(IF($E$5:$E$14=$E31,CO$5:CO$14))</f>
        <v>#DIV/0!</v>
      </c>
      <c r="CP32" s="74" t="e">
        <f t="array" ref="CP32">_xlfn.STDEV.P(IF($E$5:$E$14=$E31,CP$5:CP$14))</f>
        <v>#DIV/0!</v>
      </c>
      <c r="CQ32" s="74" t="e">
        <f t="array" ref="CQ32">_xlfn.STDEV.P(IF($E$5:$E$14=$E31,CQ$5:CQ$14))</f>
        <v>#DIV/0!</v>
      </c>
      <c r="CR32" s="74" t="e">
        <f t="array" ref="CR32">_xlfn.STDEV.P(IF($E$5:$E$14=$E31,CR$5:CR$14))</f>
        <v>#DIV/0!</v>
      </c>
      <c r="CS32" s="74" t="e">
        <f t="array" ref="CS32">_xlfn.STDEV.P(IF($E$5:$E$14=$E31,CS$5:CS$14))</f>
        <v>#DIV/0!</v>
      </c>
      <c r="CT32" s="74" t="e">
        <f t="array" ref="CT32">_xlfn.STDEV.P(IF($E$5:$E$14=$E31,CT$5:CT$14))</f>
        <v>#DIV/0!</v>
      </c>
      <c r="CU32" s="74" t="e">
        <f t="array" ref="CU32">_xlfn.STDEV.P(IF($E$5:$E$14=$E31,CU$5:CU$14))</f>
        <v>#DIV/0!</v>
      </c>
      <c r="CV32" s="74" t="e">
        <f t="array" ref="CV32">_xlfn.STDEV.P(IF($E$5:$E$14=$E31,CV$5:CV$14))</f>
        <v>#DIV/0!</v>
      </c>
      <c r="CW32" s="74" t="e">
        <f t="array" ref="CW32">_xlfn.STDEV.P(IF($E$5:$E$14=$E31,CW$5:CW$14))</f>
        <v>#DIV/0!</v>
      </c>
      <c r="CX32" s="74" t="e">
        <f t="array" ref="CX32">_xlfn.STDEV.P(IF($E$5:$E$14=$E31,CX$5:CX$14))</f>
        <v>#DIV/0!</v>
      </c>
      <c r="CY32" s="76"/>
    </row>
    <row r="33" spans="1:103" ht="15">
      <c r="A33" s="113"/>
      <c r="E33" s="118"/>
      <c r="I33" s="52"/>
    </row>
    <row r="34" spans="1:103" ht="14.25" customHeight="1">
      <c r="A34" s="113"/>
      <c r="E34" s="118" t="str">
        <f>'AsPc1 REPEAT Groups'!C11</f>
        <v>Group 6</v>
      </c>
      <c r="I34" s="118" t="str">
        <f>E34</f>
        <v>Group 6</v>
      </c>
      <c r="J34" s="318" t="e">
        <f>AVERAGEIF($E$5:$E$14,$E34,J$5:J$14)</f>
        <v>#DIV/0!</v>
      </c>
      <c r="K34" s="72" t="s">
        <v>9</v>
      </c>
      <c r="L34" s="78" t="e">
        <f t="shared" ref="L34:BD34" si="20">AVERAGEIF($E$5:$E$14,$E34,L$5:L$14)</f>
        <v>#DIV/0!</v>
      </c>
      <c r="M34" s="78" t="e">
        <f t="shared" si="20"/>
        <v>#DIV/0!</v>
      </c>
      <c r="N34" s="78" t="e">
        <f t="shared" si="20"/>
        <v>#DIV/0!</v>
      </c>
      <c r="O34" s="78" t="e">
        <f t="shared" si="20"/>
        <v>#DIV/0!</v>
      </c>
      <c r="P34" s="78" t="e">
        <f t="shared" si="20"/>
        <v>#DIV/0!</v>
      </c>
      <c r="Q34" s="78" t="e">
        <f t="shared" si="20"/>
        <v>#DIV/0!</v>
      </c>
      <c r="R34" s="78" t="e">
        <f t="shared" si="20"/>
        <v>#DIV/0!</v>
      </c>
      <c r="S34" s="78" t="e">
        <f t="shared" si="20"/>
        <v>#DIV/0!</v>
      </c>
      <c r="T34" s="78" t="e">
        <f t="shared" si="20"/>
        <v>#DIV/0!</v>
      </c>
      <c r="U34" s="78" t="e">
        <f t="shared" si="20"/>
        <v>#DIV/0!</v>
      </c>
      <c r="V34" s="78" t="e">
        <f t="shared" si="20"/>
        <v>#DIV/0!</v>
      </c>
      <c r="W34" s="78" t="e">
        <f t="shared" si="20"/>
        <v>#DIV/0!</v>
      </c>
      <c r="X34" s="78" t="e">
        <f t="shared" si="20"/>
        <v>#DIV/0!</v>
      </c>
      <c r="Y34" s="78" t="e">
        <f t="shared" si="20"/>
        <v>#DIV/0!</v>
      </c>
      <c r="Z34" s="78" t="e">
        <f t="shared" si="20"/>
        <v>#DIV/0!</v>
      </c>
      <c r="AA34" s="78" t="e">
        <f t="shared" si="20"/>
        <v>#DIV/0!</v>
      </c>
      <c r="AB34" s="78" t="e">
        <f t="shared" si="20"/>
        <v>#DIV/0!</v>
      </c>
      <c r="AC34" s="78" t="e">
        <f t="shared" si="20"/>
        <v>#DIV/0!</v>
      </c>
      <c r="AD34" s="78" t="e">
        <f t="shared" si="20"/>
        <v>#DIV/0!</v>
      </c>
      <c r="AE34" s="78" t="e">
        <f t="shared" si="20"/>
        <v>#DIV/0!</v>
      </c>
      <c r="AF34" s="78" t="e">
        <f t="shared" si="20"/>
        <v>#DIV/0!</v>
      </c>
      <c r="AG34" s="78" t="e">
        <f t="shared" si="20"/>
        <v>#DIV/0!</v>
      </c>
      <c r="AH34" s="78" t="e">
        <f t="shared" si="20"/>
        <v>#DIV/0!</v>
      </c>
      <c r="AI34" s="78" t="e">
        <f t="shared" si="20"/>
        <v>#DIV/0!</v>
      </c>
      <c r="AJ34" s="78" t="e">
        <f t="shared" si="20"/>
        <v>#DIV/0!</v>
      </c>
      <c r="AK34" s="78" t="e">
        <f t="shared" si="20"/>
        <v>#DIV/0!</v>
      </c>
      <c r="AL34" s="78" t="e">
        <f t="shared" si="20"/>
        <v>#DIV/0!</v>
      </c>
      <c r="AM34" s="78" t="e">
        <f t="shared" si="20"/>
        <v>#DIV/0!</v>
      </c>
      <c r="AN34" s="78" t="e">
        <f t="shared" si="20"/>
        <v>#DIV/0!</v>
      </c>
      <c r="AO34" s="78" t="e">
        <f t="shared" si="20"/>
        <v>#DIV/0!</v>
      </c>
      <c r="AP34" s="78" t="e">
        <f t="shared" si="20"/>
        <v>#DIV/0!</v>
      </c>
      <c r="AQ34" s="78" t="e">
        <f t="shared" si="20"/>
        <v>#DIV/0!</v>
      </c>
      <c r="AR34" s="78" t="e">
        <f t="shared" si="20"/>
        <v>#DIV/0!</v>
      </c>
      <c r="AS34" s="78" t="e">
        <f t="shared" si="20"/>
        <v>#DIV/0!</v>
      </c>
      <c r="AT34" s="78" t="e">
        <f t="shared" si="20"/>
        <v>#DIV/0!</v>
      </c>
      <c r="AU34" s="78" t="e">
        <f t="shared" si="20"/>
        <v>#DIV/0!</v>
      </c>
      <c r="AV34" s="78" t="e">
        <f t="shared" si="20"/>
        <v>#DIV/0!</v>
      </c>
      <c r="AW34" s="78" t="e">
        <f t="shared" si="20"/>
        <v>#DIV/0!</v>
      </c>
      <c r="AX34" s="78" t="e">
        <f t="shared" si="20"/>
        <v>#DIV/0!</v>
      </c>
      <c r="AY34" s="78" t="e">
        <f t="shared" si="20"/>
        <v>#DIV/0!</v>
      </c>
      <c r="AZ34" s="78" t="e">
        <f t="shared" si="20"/>
        <v>#DIV/0!</v>
      </c>
      <c r="BA34" s="78" t="e">
        <f t="shared" si="20"/>
        <v>#DIV/0!</v>
      </c>
      <c r="BB34" s="78" t="e">
        <f t="shared" si="20"/>
        <v>#DIV/0!</v>
      </c>
      <c r="BC34" s="78" t="e">
        <f t="shared" si="20"/>
        <v>#DIV/0!</v>
      </c>
      <c r="BD34" s="78" t="e">
        <f t="shared" si="20"/>
        <v>#DIV/0!</v>
      </c>
      <c r="BE34" s="103" t="s">
        <v>9</v>
      </c>
      <c r="BF34" s="73" t="e">
        <f t="shared" ref="BF34:CX34" si="21">AVERAGEIF($E$5:$E$14,$E34,BF$5:BF$14)</f>
        <v>#DIV/0!</v>
      </c>
      <c r="BG34" s="73" t="e">
        <f t="shared" si="21"/>
        <v>#DIV/0!</v>
      </c>
      <c r="BH34" s="73" t="e">
        <f t="shared" si="21"/>
        <v>#DIV/0!</v>
      </c>
      <c r="BI34" s="73" t="e">
        <f t="shared" si="21"/>
        <v>#DIV/0!</v>
      </c>
      <c r="BJ34" s="73" t="e">
        <f t="shared" si="21"/>
        <v>#DIV/0!</v>
      </c>
      <c r="BK34" s="73" t="e">
        <f t="shared" si="21"/>
        <v>#DIV/0!</v>
      </c>
      <c r="BL34" s="73" t="e">
        <f t="shared" si="21"/>
        <v>#DIV/0!</v>
      </c>
      <c r="BM34" s="73" t="e">
        <f t="shared" si="21"/>
        <v>#DIV/0!</v>
      </c>
      <c r="BN34" s="73" t="e">
        <f t="shared" si="21"/>
        <v>#DIV/0!</v>
      </c>
      <c r="BO34" s="73" t="e">
        <f t="shared" si="21"/>
        <v>#DIV/0!</v>
      </c>
      <c r="BP34" s="73" t="e">
        <f t="shared" si="21"/>
        <v>#DIV/0!</v>
      </c>
      <c r="BQ34" s="73" t="e">
        <f t="shared" si="21"/>
        <v>#DIV/0!</v>
      </c>
      <c r="BR34" s="73" t="e">
        <f t="shared" si="21"/>
        <v>#DIV/0!</v>
      </c>
      <c r="BS34" s="73" t="e">
        <f t="shared" si="21"/>
        <v>#DIV/0!</v>
      </c>
      <c r="BT34" s="73" t="e">
        <f t="shared" si="21"/>
        <v>#DIV/0!</v>
      </c>
      <c r="BU34" s="73" t="e">
        <f t="shared" si="21"/>
        <v>#DIV/0!</v>
      </c>
      <c r="BV34" s="73" t="e">
        <f t="shared" si="21"/>
        <v>#DIV/0!</v>
      </c>
      <c r="BW34" s="73" t="e">
        <f t="shared" si="21"/>
        <v>#DIV/0!</v>
      </c>
      <c r="BX34" s="73" t="e">
        <f t="shared" si="21"/>
        <v>#DIV/0!</v>
      </c>
      <c r="BY34" s="73" t="e">
        <f t="shared" si="21"/>
        <v>#DIV/0!</v>
      </c>
      <c r="BZ34" s="73" t="e">
        <f t="shared" si="21"/>
        <v>#DIV/0!</v>
      </c>
      <c r="CA34" s="73" t="e">
        <f t="shared" si="21"/>
        <v>#DIV/0!</v>
      </c>
      <c r="CB34" s="73" t="e">
        <f t="shared" si="21"/>
        <v>#DIV/0!</v>
      </c>
      <c r="CC34" s="73" t="e">
        <f t="shared" si="21"/>
        <v>#DIV/0!</v>
      </c>
      <c r="CD34" s="73" t="e">
        <f t="shared" si="21"/>
        <v>#DIV/0!</v>
      </c>
      <c r="CE34" s="73" t="e">
        <f t="shared" si="21"/>
        <v>#DIV/0!</v>
      </c>
      <c r="CF34" s="73" t="e">
        <f t="shared" si="21"/>
        <v>#DIV/0!</v>
      </c>
      <c r="CG34" s="73" t="e">
        <f t="shared" si="21"/>
        <v>#DIV/0!</v>
      </c>
      <c r="CH34" s="73" t="e">
        <f t="shared" si="21"/>
        <v>#DIV/0!</v>
      </c>
      <c r="CI34" s="73" t="e">
        <f t="shared" si="21"/>
        <v>#DIV/0!</v>
      </c>
      <c r="CJ34" s="73" t="e">
        <f t="shared" si="21"/>
        <v>#DIV/0!</v>
      </c>
      <c r="CK34" s="73" t="e">
        <f t="shared" si="21"/>
        <v>#DIV/0!</v>
      </c>
      <c r="CL34" s="73" t="e">
        <f t="shared" si="21"/>
        <v>#DIV/0!</v>
      </c>
      <c r="CM34" s="73" t="e">
        <f t="shared" si="21"/>
        <v>#DIV/0!</v>
      </c>
      <c r="CN34" s="73" t="e">
        <f t="shared" si="21"/>
        <v>#DIV/0!</v>
      </c>
      <c r="CO34" s="73" t="e">
        <f t="shared" si="21"/>
        <v>#DIV/0!</v>
      </c>
      <c r="CP34" s="73" t="e">
        <f t="shared" si="21"/>
        <v>#DIV/0!</v>
      </c>
      <c r="CQ34" s="73" t="e">
        <f t="shared" si="21"/>
        <v>#DIV/0!</v>
      </c>
      <c r="CR34" s="73" t="e">
        <f t="shared" si="21"/>
        <v>#DIV/0!</v>
      </c>
      <c r="CS34" s="73" t="e">
        <f t="shared" si="21"/>
        <v>#DIV/0!</v>
      </c>
      <c r="CT34" s="73" t="e">
        <f t="shared" si="21"/>
        <v>#DIV/0!</v>
      </c>
      <c r="CU34" s="73" t="e">
        <f t="shared" si="21"/>
        <v>#DIV/0!</v>
      </c>
      <c r="CV34" s="73" t="e">
        <f t="shared" si="21"/>
        <v>#DIV/0!</v>
      </c>
      <c r="CW34" s="73" t="e">
        <f t="shared" si="21"/>
        <v>#DIV/0!</v>
      </c>
      <c r="CX34" s="73" t="e">
        <f t="shared" si="21"/>
        <v>#DIV/0!</v>
      </c>
      <c r="CY34" s="76"/>
    </row>
    <row r="35" spans="1:103" ht="14.25" customHeight="1">
      <c r="A35" s="113"/>
      <c r="E35" s="93"/>
      <c r="I35" s="93"/>
      <c r="J35" s="318" t="e">
        <f t="array" ref="J35">_xlfn.STDEV.P(IF($E$5:$E$14=$E34,J$5:J$14))</f>
        <v>#DIV/0!</v>
      </c>
      <c r="K35" s="72" t="s">
        <v>11</v>
      </c>
      <c r="L35" s="81" t="e">
        <f t="array" ref="L35">_xlfn.STDEV.P(IF($E$5:$E$14=$E34,L$5:L$14))</f>
        <v>#DIV/0!</v>
      </c>
      <c r="M35" s="81" t="e">
        <f t="array" ref="M35">_xlfn.STDEV.P(IF($E$5:$E$14=$E34,M$5:M$14))</f>
        <v>#DIV/0!</v>
      </c>
      <c r="N35" s="81" t="e">
        <f t="array" ref="N35">_xlfn.STDEV.P(IF($E$5:$E$14=$E34,N$5:N$14))</f>
        <v>#DIV/0!</v>
      </c>
      <c r="O35" s="81" t="e">
        <f t="array" ref="O35">_xlfn.STDEV.P(IF($E$5:$E$14=$E34,O$5:O$14))</f>
        <v>#DIV/0!</v>
      </c>
      <c r="P35" s="81" t="e">
        <f t="array" ref="P35">_xlfn.STDEV.P(IF($E$5:$E$14=$E34,P$5:P$14))</f>
        <v>#DIV/0!</v>
      </c>
      <c r="Q35" s="81" t="e">
        <f t="array" ref="Q35">_xlfn.STDEV.P(IF($E$5:$E$14=$E34,Q$5:Q$14))</f>
        <v>#DIV/0!</v>
      </c>
      <c r="R35" s="81" t="e">
        <f t="array" ref="R35">_xlfn.STDEV.P(IF($E$5:$E$14=$E34,R$5:R$14))</f>
        <v>#DIV/0!</v>
      </c>
      <c r="S35" s="81" t="e">
        <f t="array" ref="S35">_xlfn.STDEV.P(IF($E$5:$E$14=$E34,S$5:S$14))</f>
        <v>#DIV/0!</v>
      </c>
      <c r="T35" s="81" t="e">
        <f t="array" ref="T35">_xlfn.STDEV.P(IF($E$5:$E$14=$E34,T$5:T$14))</f>
        <v>#DIV/0!</v>
      </c>
      <c r="U35" s="81" t="e">
        <f t="array" ref="U35">_xlfn.STDEV.P(IF($E$5:$E$14=$E34,U$5:U$14))</f>
        <v>#DIV/0!</v>
      </c>
      <c r="V35" s="81" t="e">
        <f t="array" ref="V35">_xlfn.STDEV.P(IF($E$5:$E$14=$E34,V$5:V$14))</f>
        <v>#DIV/0!</v>
      </c>
      <c r="W35" s="81" t="e">
        <f t="array" ref="W35">_xlfn.STDEV.P(IF($E$5:$E$14=$E34,W$5:W$14))</f>
        <v>#DIV/0!</v>
      </c>
      <c r="X35" s="81" t="e">
        <f t="array" ref="X35">_xlfn.STDEV.P(IF($E$5:$E$14=$E34,X$5:X$14))</f>
        <v>#DIV/0!</v>
      </c>
      <c r="Y35" s="81" t="e">
        <f t="array" ref="Y35">_xlfn.STDEV.P(IF($E$5:$E$14=$E34,Y$5:Y$14))</f>
        <v>#DIV/0!</v>
      </c>
      <c r="Z35" s="81" t="e">
        <f t="array" ref="Z35">_xlfn.STDEV.P(IF($E$5:$E$14=$E34,Z$5:Z$14))</f>
        <v>#DIV/0!</v>
      </c>
      <c r="AA35" s="81" t="e">
        <f t="array" ref="AA35">_xlfn.STDEV.P(IF($E$5:$E$14=$E34,AA$5:AA$14))</f>
        <v>#DIV/0!</v>
      </c>
      <c r="AB35" s="81" t="e">
        <f t="array" ref="AB35">_xlfn.STDEV.P(IF($E$5:$E$14=$E34,AB$5:AB$14))</f>
        <v>#DIV/0!</v>
      </c>
      <c r="AC35" s="81" t="e">
        <f t="array" ref="AC35">_xlfn.STDEV.P(IF($E$5:$E$14=$E34,AC$5:AC$14))</f>
        <v>#DIV/0!</v>
      </c>
      <c r="AD35" s="81" t="e">
        <f t="array" ref="AD35">_xlfn.STDEV.P(IF($E$5:$E$14=$E34,AD$5:AD$14))</f>
        <v>#DIV/0!</v>
      </c>
      <c r="AE35" s="81" t="e">
        <f t="array" ref="AE35">_xlfn.STDEV.P(IF($E$5:$E$14=$E34,AE$5:AE$14))</f>
        <v>#DIV/0!</v>
      </c>
      <c r="AF35" s="81" t="e">
        <f t="array" ref="AF35">_xlfn.STDEV.P(IF($E$5:$E$14=$E34,AF$5:AF$14))</f>
        <v>#DIV/0!</v>
      </c>
      <c r="AG35" s="81" t="e">
        <f t="array" ref="AG35">_xlfn.STDEV.P(IF($E$5:$E$14=$E34,AG$5:AG$14))</f>
        <v>#DIV/0!</v>
      </c>
      <c r="AH35" s="81" t="e">
        <f t="array" ref="AH35">_xlfn.STDEV.P(IF($E$5:$E$14=$E34,AH$5:AH$14))</f>
        <v>#DIV/0!</v>
      </c>
      <c r="AI35" s="81" t="e">
        <f t="array" ref="AI35">_xlfn.STDEV.P(IF($E$5:$E$14=$E34,AI$5:AI$14))</f>
        <v>#DIV/0!</v>
      </c>
      <c r="AJ35" s="81" t="e">
        <f t="array" ref="AJ35">_xlfn.STDEV.P(IF($E$5:$E$14=$E34,AJ$5:AJ$14))</f>
        <v>#DIV/0!</v>
      </c>
      <c r="AK35" s="81" t="e">
        <f t="array" ref="AK35">_xlfn.STDEV.P(IF($E$5:$E$14=$E34,AK$5:AK$14))</f>
        <v>#DIV/0!</v>
      </c>
      <c r="AL35" s="81" t="e">
        <f t="array" ref="AL35">_xlfn.STDEV.P(IF($E$5:$E$14=$E34,AL$5:AL$14))</f>
        <v>#DIV/0!</v>
      </c>
      <c r="AM35" s="81" t="e">
        <f t="array" ref="AM35">_xlfn.STDEV.P(IF($E$5:$E$14=$E34,AM$5:AM$14))</f>
        <v>#DIV/0!</v>
      </c>
      <c r="AN35" s="81" t="e">
        <f t="array" ref="AN35">_xlfn.STDEV.P(IF($E$5:$E$14=$E34,AN$5:AN$14))</f>
        <v>#DIV/0!</v>
      </c>
      <c r="AO35" s="81" t="e">
        <f t="array" ref="AO35">_xlfn.STDEV.P(IF($E$5:$E$14=$E34,AO$5:AO$14))</f>
        <v>#DIV/0!</v>
      </c>
      <c r="AP35" s="81" t="e">
        <f t="array" ref="AP35">_xlfn.STDEV.P(IF($E$5:$E$14=$E34,AP$5:AP$14))</f>
        <v>#DIV/0!</v>
      </c>
      <c r="AQ35" s="81" t="e">
        <f t="array" ref="AQ35">_xlfn.STDEV.P(IF($E$5:$E$14=$E34,AQ$5:AQ$14))</f>
        <v>#DIV/0!</v>
      </c>
      <c r="AR35" s="81" t="e">
        <f t="array" ref="AR35">_xlfn.STDEV.P(IF($E$5:$E$14=$E34,AR$5:AR$14))</f>
        <v>#DIV/0!</v>
      </c>
      <c r="AS35" s="81" t="e">
        <f t="array" ref="AS35">_xlfn.STDEV.P(IF($E$5:$E$14=$E34,AS$5:AS$14))</f>
        <v>#DIV/0!</v>
      </c>
      <c r="AT35" s="81" t="e">
        <f t="array" ref="AT35">_xlfn.STDEV.P(IF($E$5:$E$14=$E34,AT$5:AT$14))</f>
        <v>#DIV/0!</v>
      </c>
      <c r="AU35" s="81" t="e">
        <f t="array" ref="AU35">_xlfn.STDEV.P(IF($E$5:$E$14=$E34,AU$5:AU$14))</f>
        <v>#DIV/0!</v>
      </c>
      <c r="AV35" s="81" t="e">
        <f t="array" ref="AV35">_xlfn.STDEV.P(IF($E$5:$E$14=$E34,AV$5:AV$14))</f>
        <v>#DIV/0!</v>
      </c>
      <c r="AW35" s="81" t="e">
        <f t="array" ref="AW35">_xlfn.STDEV.P(IF($E$5:$E$14=$E34,AW$5:AW$14))</f>
        <v>#DIV/0!</v>
      </c>
      <c r="AX35" s="81" t="e">
        <f t="array" ref="AX35">_xlfn.STDEV.P(IF($E$5:$E$14=$E34,AX$5:AX$14))</f>
        <v>#DIV/0!</v>
      </c>
      <c r="AY35" s="81" t="e">
        <f t="array" ref="AY35">_xlfn.STDEV.P(IF($E$5:$E$14=$E34,AY$5:AY$14))</f>
        <v>#DIV/0!</v>
      </c>
      <c r="AZ35" s="81" t="e">
        <f t="array" ref="AZ35">_xlfn.STDEV.P(IF($E$5:$E$14=$E34,AZ$5:AZ$14))</f>
        <v>#DIV/0!</v>
      </c>
      <c r="BA35" s="81" t="e">
        <f t="array" ref="BA35">_xlfn.STDEV.P(IF($E$5:$E$14=$E34,BA$5:BA$14))</f>
        <v>#DIV/0!</v>
      </c>
      <c r="BB35" s="81" t="e">
        <f t="array" ref="BB35">_xlfn.STDEV.P(IF($E$5:$E$14=$E34,BB$5:BB$14))</f>
        <v>#DIV/0!</v>
      </c>
      <c r="BC35" s="81" t="e">
        <f t="array" ref="BC35">_xlfn.STDEV.P(IF($E$5:$E$14=$E34,BC$5:BC$14))</f>
        <v>#DIV/0!</v>
      </c>
      <c r="BD35" s="81" t="e">
        <f t="array" ref="BD35">_xlfn.STDEV.P(IF($E$5:$E$14=$E34,BD$5:BD$14))</f>
        <v>#DIV/0!</v>
      </c>
      <c r="BE35" s="104" t="s">
        <v>11</v>
      </c>
      <c r="BF35" s="74" t="e">
        <f t="array" ref="BF35">_xlfn.STDEV.P(IF($E$5:$E$14=$E34,BF$5:BF$14))</f>
        <v>#DIV/0!</v>
      </c>
      <c r="BG35" s="74" t="e">
        <f t="array" ref="BG35">_xlfn.STDEV.P(IF($E$5:$E$14=$E34,BG$5:BG$14))</f>
        <v>#DIV/0!</v>
      </c>
      <c r="BH35" s="74" t="e">
        <f t="array" ref="BH35">_xlfn.STDEV.P(IF($E$5:$E$14=$E34,BH$5:BH$14))</f>
        <v>#DIV/0!</v>
      </c>
      <c r="BI35" s="74" t="e">
        <f t="array" ref="BI35">_xlfn.STDEV.P(IF($E$5:$E$14=$E34,BI$5:BI$14))</f>
        <v>#DIV/0!</v>
      </c>
      <c r="BJ35" s="74" t="e">
        <f t="array" ref="BJ35">_xlfn.STDEV.P(IF($E$5:$E$14=$E34,BJ$5:BJ$14))</f>
        <v>#DIV/0!</v>
      </c>
      <c r="BK35" s="74" t="e">
        <f t="array" ref="BK35">_xlfn.STDEV.P(IF($E$5:$E$14=$E34,BK$5:BK$14))</f>
        <v>#DIV/0!</v>
      </c>
      <c r="BL35" s="74" t="e">
        <f t="array" ref="BL35">_xlfn.STDEV.P(IF($E$5:$E$14=$E34,BL$5:BL$14))</f>
        <v>#DIV/0!</v>
      </c>
      <c r="BM35" s="74" t="e">
        <f t="array" ref="BM35">_xlfn.STDEV.P(IF($E$5:$E$14=$E34,BM$5:BM$14))</f>
        <v>#DIV/0!</v>
      </c>
      <c r="BN35" s="74" t="e">
        <f t="array" ref="BN35">_xlfn.STDEV.P(IF($E$5:$E$14=$E34,BN$5:BN$14))</f>
        <v>#DIV/0!</v>
      </c>
      <c r="BO35" s="74" t="e">
        <f t="array" ref="BO35">_xlfn.STDEV.P(IF($E$5:$E$14=$E34,BO$5:BO$14))</f>
        <v>#DIV/0!</v>
      </c>
      <c r="BP35" s="74" t="e">
        <f t="array" ref="BP35">_xlfn.STDEV.P(IF($E$5:$E$14=$E34,BP$5:BP$14))</f>
        <v>#DIV/0!</v>
      </c>
      <c r="BQ35" s="74" t="e">
        <f t="array" ref="BQ35">_xlfn.STDEV.P(IF($E$5:$E$14=$E34,BQ$5:BQ$14))</f>
        <v>#DIV/0!</v>
      </c>
      <c r="BR35" s="74" t="e">
        <f t="array" ref="BR35">_xlfn.STDEV.P(IF($E$5:$E$14=$E34,BR$5:BR$14))</f>
        <v>#DIV/0!</v>
      </c>
      <c r="BS35" s="74" t="e">
        <f t="array" ref="BS35">_xlfn.STDEV.P(IF($E$5:$E$14=$E34,BS$5:BS$14))</f>
        <v>#DIV/0!</v>
      </c>
      <c r="BT35" s="74" t="e">
        <f t="array" ref="BT35">_xlfn.STDEV.P(IF($E$5:$E$14=$E34,BT$5:BT$14))</f>
        <v>#DIV/0!</v>
      </c>
      <c r="BU35" s="74" t="e">
        <f t="array" ref="BU35">_xlfn.STDEV.P(IF($E$5:$E$14=$E34,BU$5:BU$14))</f>
        <v>#DIV/0!</v>
      </c>
      <c r="BV35" s="74" t="e">
        <f t="array" ref="BV35">_xlfn.STDEV.P(IF($E$5:$E$14=$E34,BV$5:BV$14))</f>
        <v>#DIV/0!</v>
      </c>
      <c r="BW35" s="74" t="e">
        <f t="array" ref="BW35">_xlfn.STDEV.P(IF($E$5:$E$14=$E34,BW$5:BW$14))</f>
        <v>#DIV/0!</v>
      </c>
      <c r="BX35" s="74" t="e">
        <f t="array" ref="BX35">_xlfn.STDEV.P(IF($E$5:$E$14=$E34,BX$5:BX$14))</f>
        <v>#DIV/0!</v>
      </c>
      <c r="BY35" s="74" t="e">
        <f t="array" ref="BY35">_xlfn.STDEV.P(IF($E$5:$E$14=$E34,BY$5:BY$14))</f>
        <v>#DIV/0!</v>
      </c>
      <c r="BZ35" s="74" t="e">
        <f t="array" ref="BZ35">_xlfn.STDEV.P(IF($E$5:$E$14=$E34,BZ$5:BZ$14))</f>
        <v>#DIV/0!</v>
      </c>
      <c r="CA35" s="74" t="e">
        <f t="array" ref="CA35">_xlfn.STDEV.P(IF($E$5:$E$14=$E34,CA$5:CA$14))</f>
        <v>#DIV/0!</v>
      </c>
      <c r="CB35" s="74" t="e">
        <f t="array" ref="CB35">_xlfn.STDEV.P(IF($E$5:$E$14=$E34,CB$5:CB$14))</f>
        <v>#DIV/0!</v>
      </c>
      <c r="CC35" s="74" t="e">
        <f t="array" ref="CC35">_xlfn.STDEV.P(IF($E$5:$E$14=$E34,CC$5:CC$14))</f>
        <v>#DIV/0!</v>
      </c>
      <c r="CD35" s="74" t="e">
        <f t="array" ref="CD35">_xlfn.STDEV.P(IF($E$5:$E$14=$E34,CD$5:CD$14))</f>
        <v>#DIV/0!</v>
      </c>
      <c r="CE35" s="74" t="e">
        <f t="array" ref="CE35">_xlfn.STDEV.P(IF($E$5:$E$14=$E34,CE$5:CE$14))</f>
        <v>#DIV/0!</v>
      </c>
      <c r="CF35" s="74" t="e">
        <f t="array" ref="CF35">_xlfn.STDEV.P(IF($E$5:$E$14=$E34,CF$5:CF$14))</f>
        <v>#DIV/0!</v>
      </c>
      <c r="CG35" s="74" t="e">
        <f t="array" ref="CG35">_xlfn.STDEV.P(IF($E$5:$E$14=$E34,CG$5:CG$14))</f>
        <v>#DIV/0!</v>
      </c>
      <c r="CH35" s="74" t="e">
        <f t="array" ref="CH35">_xlfn.STDEV.P(IF($E$5:$E$14=$E34,CH$5:CH$14))</f>
        <v>#DIV/0!</v>
      </c>
      <c r="CI35" s="74" t="e">
        <f t="array" ref="CI35">_xlfn.STDEV.P(IF($E$5:$E$14=$E34,CI$5:CI$14))</f>
        <v>#DIV/0!</v>
      </c>
      <c r="CJ35" s="74" t="e">
        <f t="array" ref="CJ35">_xlfn.STDEV.P(IF($E$5:$E$14=$E34,CJ$5:CJ$14))</f>
        <v>#DIV/0!</v>
      </c>
      <c r="CK35" s="74" t="e">
        <f t="array" ref="CK35">_xlfn.STDEV.P(IF($E$5:$E$14=$E34,CK$5:CK$14))</f>
        <v>#DIV/0!</v>
      </c>
      <c r="CL35" s="74" t="e">
        <f t="array" ref="CL35">_xlfn.STDEV.P(IF($E$5:$E$14=$E34,CL$5:CL$14))</f>
        <v>#DIV/0!</v>
      </c>
      <c r="CM35" s="74" t="e">
        <f t="array" ref="CM35">_xlfn.STDEV.P(IF($E$5:$E$14=$E34,CM$5:CM$14))</f>
        <v>#DIV/0!</v>
      </c>
      <c r="CN35" s="74" t="e">
        <f t="array" ref="CN35">_xlfn.STDEV.P(IF($E$5:$E$14=$E34,CN$5:CN$14))</f>
        <v>#DIV/0!</v>
      </c>
      <c r="CO35" s="74" t="e">
        <f t="array" ref="CO35">_xlfn.STDEV.P(IF($E$5:$E$14=$E34,CO$5:CO$14))</f>
        <v>#DIV/0!</v>
      </c>
      <c r="CP35" s="74" t="e">
        <f t="array" ref="CP35">_xlfn.STDEV.P(IF($E$5:$E$14=$E34,CP$5:CP$14))</f>
        <v>#DIV/0!</v>
      </c>
      <c r="CQ35" s="74" t="e">
        <f t="array" ref="CQ35">_xlfn.STDEV.P(IF($E$5:$E$14=$E34,CQ$5:CQ$14))</f>
        <v>#DIV/0!</v>
      </c>
      <c r="CR35" s="74" t="e">
        <f t="array" ref="CR35">_xlfn.STDEV.P(IF($E$5:$E$14=$E34,CR$5:CR$14))</f>
        <v>#DIV/0!</v>
      </c>
      <c r="CS35" s="74" t="e">
        <f t="array" ref="CS35">_xlfn.STDEV.P(IF($E$5:$E$14=$E34,CS$5:CS$14))</f>
        <v>#DIV/0!</v>
      </c>
      <c r="CT35" s="74" t="e">
        <f t="array" ref="CT35">_xlfn.STDEV.P(IF($E$5:$E$14=$E34,CT$5:CT$14))</f>
        <v>#DIV/0!</v>
      </c>
      <c r="CU35" s="74" t="e">
        <f t="array" ref="CU35">_xlfn.STDEV.P(IF($E$5:$E$14=$E34,CU$5:CU$14))</f>
        <v>#DIV/0!</v>
      </c>
      <c r="CV35" s="74" t="e">
        <f t="array" ref="CV35">_xlfn.STDEV.P(IF($E$5:$E$14=$E34,CV$5:CV$14))</f>
        <v>#DIV/0!</v>
      </c>
      <c r="CW35" s="74" t="e">
        <f t="array" ref="CW35">_xlfn.STDEV.P(IF($E$5:$E$14=$E34,CW$5:CW$14))</f>
        <v>#DIV/0!</v>
      </c>
      <c r="CX35" s="74" t="e">
        <f t="array" ref="CX35">_xlfn.STDEV.P(IF($E$5:$E$14=$E34,CX$5:CX$14))</f>
        <v>#DIV/0!</v>
      </c>
      <c r="CY35" s="76"/>
    </row>
    <row r="36" spans="1:103" ht="15">
      <c r="A36" s="113"/>
      <c r="E36" s="118"/>
      <c r="I36" s="52"/>
    </row>
    <row r="37" spans="1:103" ht="14.25" customHeight="1">
      <c r="A37" s="113"/>
      <c r="E37" s="118" t="str">
        <f>'AsPc1 REPEAT Groups'!C12</f>
        <v>Group 7</v>
      </c>
      <c r="I37" s="118" t="str">
        <f>E37</f>
        <v>Group 7</v>
      </c>
      <c r="J37" s="318" t="e">
        <f>AVERAGEIF($E$5:$E$14,$E37,J$5:J$14)</f>
        <v>#DIV/0!</v>
      </c>
      <c r="K37" s="72" t="s">
        <v>9</v>
      </c>
      <c r="L37" s="78" t="e">
        <f t="shared" ref="L37:BD37" si="22">AVERAGEIF($E$5:$E$14,$E37,L$5:L$14)</f>
        <v>#DIV/0!</v>
      </c>
      <c r="M37" s="78" t="e">
        <f t="shared" si="22"/>
        <v>#DIV/0!</v>
      </c>
      <c r="N37" s="78" t="e">
        <f t="shared" si="22"/>
        <v>#DIV/0!</v>
      </c>
      <c r="O37" s="78" t="e">
        <f t="shared" si="22"/>
        <v>#DIV/0!</v>
      </c>
      <c r="P37" s="78" t="e">
        <f t="shared" si="22"/>
        <v>#DIV/0!</v>
      </c>
      <c r="Q37" s="78" t="e">
        <f t="shared" si="22"/>
        <v>#DIV/0!</v>
      </c>
      <c r="R37" s="78" t="e">
        <f t="shared" si="22"/>
        <v>#DIV/0!</v>
      </c>
      <c r="S37" s="78" t="e">
        <f t="shared" si="22"/>
        <v>#DIV/0!</v>
      </c>
      <c r="T37" s="78" t="e">
        <f t="shared" si="22"/>
        <v>#DIV/0!</v>
      </c>
      <c r="U37" s="78" t="e">
        <f t="shared" si="22"/>
        <v>#DIV/0!</v>
      </c>
      <c r="V37" s="78" t="e">
        <f t="shared" si="22"/>
        <v>#DIV/0!</v>
      </c>
      <c r="W37" s="78" t="e">
        <f t="shared" si="22"/>
        <v>#DIV/0!</v>
      </c>
      <c r="X37" s="78" t="e">
        <f t="shared" si="22"/>
        <v>#DIV/0!</v>
      </c>
      <c r="Y37" s="78" t="e">
        <f t="shared" si="22"/>
        <v>#DIV/0!</v>
      </c>
      <c r="Z37" s="78" t="e">
        <f t="shared" si="22"/>
        <v>#DIV/0!</v>
      </c>
      <c r="AA37" s="78" t="e">
        <f t="shared" si="22"/>
        <v>#DIV/0!</v>
      </c>
      <c r="AB37" s="78" t="e">
        <f t="shared" si="22"/>
        <v>#DIV/0!</v>
      </c>
      <c r="AC37" s="78" t="e">
        <f t="shared" si="22"/>
        <v>#DIV/0!</v>
      </c>
      <c r="AD37" s="78" t="e">
        <f t="shared" si="22"/>
        <v>#DIV/0!</v>
      </c>
      <c r="AE37" s="78" t="e">
        <f t="shared" si="22"/>
        <v>#DIV/0!</v>
      </c>
      <c r="AF37" s="78" t="e">
        <f t="shared" si="22"/>
        <v>#DIV/0!</v>
      </c>
      <c r="AG37" s="78" t="e">
        <f t="shared" si="22"/>
        <v>#DIV/0!</v>
      </c>
      <c r="AH37" s="78" t="e">
        <f t="shared" si="22"/>
        <v>#DIV/0!</v>
      </c>
      <c r="AI37" s="78" t="e">
        <f t="shared" si="22"/>
        <v>#DIV/0!</v>
      </c>
      <c r="AJ37" s="78" t="e">
        <f t="shared" si="22"/>
        <v>#DIV/0!</v>
      </c>
      <c r="AK37" s="78" t="e">
        <f t="shared" si="22"/>
        <v>#DIV/0!</v>
      </c>
      <c r="AL37" s="78" t="e">
        <f t="shared" si="22"/>
        <v>#DIV/0!</v>
      </c>
      <c r="AM37" s="78" t="e">
        <f t="shared" si="22"/>
        <v>#DIV/0!</v>
      </c>
      <c r="AN37" s="78" t="e">
        <f t="shared" si="22"/>
        <v>#DIV/0!</v>
      </c>
      <c r="AO37" s="78" t="e">
        <f t="shared" si="22"/>
        <v>#DIV/0!</v>
      </c>
      <c r="AP37" s="78" t="e">
        <f t="shared" si="22"/>
        <v>#DIV/0!</v>
      </c>
      <c r="AQ37" s="78" t="e">
        <f t="shared" si="22"/>
        <v>#DIV/0!</v>
      </c>
      <c r="AR37" s="78" t="e">
        <f t="shared" si="22"/>
        <v>#DIV/0!</v>
      </c>
      <c r="AS37" s="78" t="e">
        <f t="shared" si="22"/>
        <v>#DIV/0!</v>
      </c>
      <c r="AT37" s="78" t="e">
        <f t="shared" si="22"/>
        <v>#DIV/0!</v>
      </c>
      <c r="AU37" s="78" t="e">
        <f t="shared" si="22"/>
        <v>#DIV/0!</v>
      </c>
      <c r="AV37" s="78" t="e">
        <f t="shared" si="22"/>
        <v>#DIV/0!</v>
      </c>
      <c r="AW37" s="78" t="e">
        <f t="shared" si="22"/>
        <v>#DIV/0!</v>
      </c>
      <c r="AX37" s="78" t="e">
        <f t="shared" si="22"/>
        <v>#DIV/0!</v>
      </c>
      <c r="AY37" s="78" t="e">
        <f t="shared" si="22"/>
        <v>#DIV/0!</v>
      </c>
      <c r="AZ37" s="78" t="e">
        <f t="shared" si="22"/>
        <v>#DIV/0!</v>
      </c>
      <c r="BA37" s="78" t="e">
        <f t="shared" si="22"/>
        <v>#DIV/0!</v>
      </c>
      <c r="BB37" s="78" t="e">
        <f t="shared" si="22"/>
        <v>#DIV/0!</v>
      </c>
      <c r="BC37" s="78" t="e">
        <f t="shared" si="22"/>
        <v>#DIV/0!</v>
      </c>
      <c r="BD37" s="78" t="e">
        <f t="shared" si="22"/>
        <v>#DIV/0!</v>
      </c>
      <c r="BE37" s="103" t="s">
        <v>9</v>
      </c>
      <c r="BF37" s="73" t="e">
        <f t="shared" ref="BF37:CX37" si="23">AVERAGEIF($E$5:$E$14,$E37,BF$5:BF$14)</f>
        <v>#DIV/0!</v>
      </c>
      <c r="BG37" s="73" t="e">
        <f t="shared" si="23"/>
        <v>#DIV/0!</v>
      </c>
      <c r="BH37" s="73" t="e">
        <f t="shared" si="23"/>
        <v>#DIV/0!</v>
      </c>
      <c r="BI37" s="73" t="e">
        <f t="shared" si="23"/>
        <v>#DIV/0!</v>
      </c>
      <c r="BJ37" s="73" t="e">
        <f t="shared" si="23"/>
        <v>#DIV/0!</v>
      </c>
      <c r="BK37" s="73" t="e">
        <f t="shared" si="23"/>
        <v>#DIV/0!</v>
      </c>
      <c r="BL37" s="73" t="e">
        <f t="shared" si="23"/>
        <v>#DIV/0!</v>
      </c>
      <c r="BM37" s="73" t="e">
        <f t="shared" si="23"/>
        <v>#DIV/0!</v>
      </c>
      <c r="BN37" s="73" t="e">
        <f t="shared" si="23"/>
        <v>#DIV/0!</v>
      </c>
      <c r="BO37" s="73" t="e">
        <f t="shared" si="23"/>
        <v>#DIV/0!</v>
      </c>
      <c r="BP37" s="73" t="e">
        <f t="shared" si="23"/>
        <v>#DIV/0!</v>
      </c>
      <c r="BQ37" s="73" t="e">
        <f t="shared" si="23"/>
        <v>#DIV/0!</v>
      </c>
      <c r="BR37" s="73" t="e">
        <f t="shared" si="23"/>
        <v>#DIV/0!</v>
      </c>
      <c r="BS37" s="73" t="e">
        <f t="shared" si="23"/>
        <v>#DIV/0!</v>
      </c>
      <c r="BT37" s="73" t="e">
        <f t="shared" si="23"/>
        <v>#DIV/0!</v>
      </c>
      <c r="BU37" s="73" t="e">
        <f t="shared" si="23"/>
        <v>#DIV/0!</v>
      </c>
      <c r="BV37" s="73" t="e">
        <f t="shared" si="23"/>
        <v>#DIV/0!</v>
      </c>
      <c r="BW37" s="73" t="e">
        <f t="shared" si="23"/>
        <v>#DIV/0!</v>
      </c>
      <c r="BX37" s="73" t="e">
        <f t="shared" si="23"/>
        <v>#DIV/0!</v>
      </c>
      <c r="BY37" s="73" t="e">
        <f t="shared" si="23"/>
        <v>#DIV/0!</v>
      </c>
      <c r="BZ37" s="73" t="e">
        <f t="shared" si="23"/>
        <v>#DIV/0!</v>
      </c>
      <c r="CA37" s="73" t="e">
        <f t="shared" si="23"/>
        <v>#DIV/0!</v>
      </c>
      <c r="CB37" s="73" t="e">
        <f t="shared" si="23"/>
        <v>#DIV/0!</v>
      </c>
      <c r="CC37" s="73" t="e">
        <f t="shared" si="23"/>
        <v>#DIV/0!</v>
      </c>
      <c r="CD37" s="73" t="e">
        <f t="shared" si="23"/>
        <v>#DIV/0!</v>
      </c>
      <c r="CE37" s="73" t="e">
        <f t="shared" si="23"/>
        <v>#DIV/0!</v>
      </c>
      <c r="CF37" s="73" t="e">
        <f t="shared" si="23"/>
        <v>#DIV/0!</v>
      </c>
      <c r="CG37" s="73" t="e">
        <f t="shared" si="23"/>
        <v>#DIV/0!</v>
      </c>
      <c r="CH37" s="73" t="e">
        <f t="shared" si="23"/>
        <v>#DIV/0!</v>
      </c>
      <c r="CI37" s="73" t="e">
        <f t="shared" si="23"/>
        <v>#DIV/0!</v>
      </c>
      <c r="CJ37" s="73" t="e">
        <f t="shared" si="23"/>
        <v>#DIV/0!</v>
      </c>
      <c r="CK37" s="73" t="e">
        <f t="shared" si="23"/>
        <v>#DIV/0!</v>
      </c>
      <c r="CL37" s="73" t="e">
        <f t="shared" si="23"/>
        <v>#DIV/0!</v>
      </c>
      <c r="CM37" s="73" t="e">
        <f t="shared" si="23"/>
        <v>#DIV/0!</v>
      </c>
      <c r="CN37" s="73" t="e">
        <f t="shared" si="23"/>
        <v>#DIV/0!</v>
      </c>
      <c r="CO37" s="73" t="e">
        <f t="shared" si="23"/>
        <v>#DIV/0!</v>
      </c>
      <c r="CP37" s="73" t="e">
        <f t="shared" si="23"/>
        <v>#DIV/0!</v>
      </c>
      <c r="CQ37" s="73" t="e">
        <f t="shared" si="23"/>
        <v>#DIV/0!</v>
      </c>
      <c r="CR37" s="73" t="e">
        <f t="shared" si="23"/>
        <v>#DIV/0!</v>
      </c>
      <c r="CS37" s="73" t="e">
        <f t="shared" si="23"/>
        <v>#DIV/0!</v>
      </c>
      <c r="CT37" s="73" t="e">
        <f t="shared" si="23"/>
        <v>#DIV/0!</v>
      </c>
      <c r="CU37" s="73" t="e">
        <f t="shared" si="23"/>
        <v>#DIV/0!</v>
      </c>
      <c r="CV37" s="73" t="e">
        <f t="shared" si="23"/>
        <v>#DIV/0!</v>
      </c>
      <c r="CW37" s="73" t="e">
        <f t="shared" si="23"/>
        <v>#DIV/0!</v>
      </c>
      <c r="CX37" s="73" t="e">
        <f t="shared" si="23"/>
        <v>#DIV/0!</v>
      </c>
      <c r="CY37" s="76"/>
    </row>
    <row r="38" spans="1:103" ht="14.25" customHeight="1">
      <c r="A38" s="113"/>
      <c r="E38" s="93"/>
      <c r="I38" s="93"/>
      <c r="J38" s="318" t="e">
        <f t="array" ref="J38">_xlfn.STDEV.P(IF($E$5:$E$14=$E37,J$5:J$14))</f>
        <v>#DIV/0!</v>
      </c>
      <c r="K38" s="72" t="s">
        <v>11</v>
      </c>
      <c r="L38" s="81" t="e">
        <f t="array" ref="L38">_xlfn.STDEV.P(IF($E$5:$E$14=$E37,L$5:L$14))</f>
        <v>#DIV/0!</v>
      </c>
      <c r="M38" s="81" t="e">
        <f t="array" ref="M38">_xlfn.STDEV.P(IF($E$5:$E$14=$E37,M$5:M$14))</f>
        <v>#DIV/0!</v>
      </c>
      <c r="N38" s="81" t="e">
        <f t="array" ref="N38">_xlfn.STDEV.P(IF($E$5:$E$14=$E37,N$5:N$14))</f>
        <v>#DIV/0!</v>
      </c>
      <c r="O38" s="81" t="e">
        <f t="array" ref="O38">_xlfn.STDEV.P(IF($E$5:$E$14=$E37,O$5:O$14))</f>
        <v>#DIV/0!</v>
      </c>
      <c r="P38" s="81" t="e">
        <f t="array" ref="P38">_xlfn.STDEV.P(IF($E$5:$E$14=$E37,P$5:P$14))</f>
        <v>#DIV/0!</v>
      </c>
      <c r="Q38" s="81" t="e">
        <f t="array" ref="Q38">_xlfn.STDEV.P(IF($E$5:$E$14=$E37,Q$5:Q$14))</f>
        <v>#DIV/0!</v>
      </c>
      <c r="R38" s="81" t="e">
        <f t="array" ref="R38">_xlfn.STDEV.P(IF($E$5:$E$14=$E37,R$5:R$14))</f>
        <v>#DIV/0!</v>
      </c>
      <c r="S38" s="81" t="e">
        <f t="array" ref="S38">_xlfn.STDEV.P(IF($E$5:$E$14=$E37,S$5:S$14))</f>
        <v>#DIV/0!</v>
      </c>
      <c r="T38" s="81" t="e">
        <f t="array" ref="T38">_xlfn.STDEV.P(IF($E$5:$E$14=$E37,T$5:T$14))</f>
        <v>#DIV/0!</v>
      </c>
      <c r="U38" s="81" t="e">
        <f t="array" ref="U38">_xlfn.STDEV.P(IF($E$5:$E$14=$E37,U$5:U$14))</f>
        <v>#DIV/0!</v>
      </c>
      <c r="V38" s="81" t="e">
        <f t="array" ref="V38">_xlfn.STDEV.P(IF($E$5:$E$14=$E37,V$5:V$14))</f>
        <v>#DIV/0!</v>
      </c>
      <c r="W38" s="81" t="e">
        <f t="array" ref="W38">_xlfn.STDEV.P(IF($E$5:$E$14=$E37,W$5:W$14))</f>
        <v>#DIV/0!</v>
      </c>
      <c r="X38" s="81" t="e">
        <f t="array" ref="X38">_xlfn.STDEV.P(IF($E$5:$E$14=$E37,X$5:X$14))</f>
        <v>#DIV/0!</v>
      </c>
      <c r="Y38" s="81" t="e">
        <f t="array" ref="Y38">_xlfn.STDEV.P(IF($E$5:$E$14=$E37,Y$5:Y$14))</f>
        <v>#DIV/0!</v>
      </c>
      <c r="Z38" s="81" t="e">
        <f t="array" ref="Z38">_xlfn.STDEV.P(IF($E$5:$E$14=$E37,Z$5:Z$14))</f>
        <v>#DIV/0!</v>
      </c>
      <c r="AA38" s="81" t="e">
        <f t="array" ref="AA38">_xlfn.STDEV.P(IF($E$5:$E$14=$E37,AA$5:AA$14))</f>
        <v>#DIV/0!</v>
      </c>
      <c r="AB38" s="81" t="e">
        <f t="array" ref="AB38">_xlfn.STDEV.P(IF($E$5:$E$14=$E37,AB$5:AB$14))</f>
        <v>#DIV/0!</v>
      </c>
      <c r="AC38" s="81" t="e">
        <f t="array" ref="AC38">_xlfn.STDEV.P(IF($E$5:$E$14=$E37,AC$5:AC$14))</f>
        <v>#DIV/0!</v>
      </c>
      <c r="AD38" s="81" t="e">
        <f t="array" ref="AD38">_xlfn.STDEV.P(IF($E$5:$E$14=$E37,AD$5:AD$14))</f>
        <v>#DIV/0!</v>
      </c>
      <c r="AE38" s="81" t="e">
        <f t="array" ref="AE38">_xlfn.STDEV.P(IF($E$5:$E$14=$E37,AE$5:AE$14))</f>
        <v>#DIV/0!</v>
      </c>
      <c r="AF38" s="81" t="e">
        <f t="array" ref="AF38">_xlfn.STDEV.P(IF($E$5:$E$14=$E37,AF$5:AF$14))</f>
        <v>#DIV/0!</v>
      </c>
      <c r="AG38" s="81" t="e">
        <f t="array" ref="AG38">_xlfn.STDEV.P(IF($E$5:$E$14=$E37,AG$5:AG$14))</f>
        <v>#DIV/0!</v>
      </c>
      <c r="AH38" s="81" t="e">
        <f t="array" ref="AH38">_xlfn.STDEV.P(IF($E$5:$E$14=$E37,AH$5:AH$14))</f>
        <v>#DIV/0!</v>
      </c>
      <c r="AI38" s="81" t="e">
        <f t="array" ref="AI38">_xlfn.STDEV.P(IF($E$5:$E$14=$E37,AI$5:AI$14))</f>
        <v>#DIV/0!</v>
      </c>
      <c r="AJ38" s="81" t="e">
        <f t="array" ref="AJ38">_xlfn.STDEV.P(IF($E$5:$E$14=$E37,AJ$5:AJ$14))</f>
        <v>#DIV/0!</v>
      </c>
      <c r="AK38" s="81" t="e">
        <f t="array" ref="AK38">_xlfn.STDEV.P(IF($E$5:$E$14=$E37,AK$5:AK$14))</f>
        <v>#DIV/0!</v>
      </c>
      <c r="AL38" s="81" t="e">
        <f t="array" ref="AL38">_xlfn.STDEV.P(IF($E$5:$E$14=$E37,AL$5:AL$14))</f>
        <v>#DIV/0!</v>
      </c>
      <c r="AM38" s="81" t="e">
        <f t="array" ref="AM38">_xlfn.STDEV.P(IF($E$5:$E$14=$E37,AM$5:AM$14))</f>
        <v>#DIV/0!</v>
      </c>
      <c r="AN38" s="81" t="e">
        <f t="array" ref="AN38">_xlfn.STDEV.P(IF($E$5:$E$14=$E37,AN$5:AN$14))</f>
        <v>#DIV/0!</v>
      </c>
      <c r="AO38" s="81" t="e">
        <f t="array" ref="AO38">_xlfn.STDEV.P(IF($E$5:$E$14=$E37,AO$5:AO$14))</f>
        <v>#DIV/0!</v>
      </c>
      <c r="AP38" s="81" t="e">
        <f t="array" ref="AP38">_xlfn.STDEV.P(IF($E$5:$E$14=$E37,AP$5:AP$14))</f>
        <v>#DIV/0!</v>
      </c>
      <c r="AQ38" s="81" t="e">
        <f t="array" ref="AQ38">_xlfn.STDEV.P(IF($E$5:$E$14=$E37,AQ$5:AQ$14))</f>
        <v>#DIV/0!</v>
      </c>
      <c r="AR38" s="81" t="e">
        <f t="array" ref="AR38">_xlfn.STDEV.P(IF($E$5:$E$14=$E37,AR$5:AR$14))</f>
        <v>#DIV/0!</v>
      </c>
      <c r="AS38" s="81" t="e">
        <f t="array" ref="AS38">_xlfn.STDEV.P(IF($E$5:$E$14=$E37,AS$5:AS$14))</f>
        <v>#DIV/0!</v>
      </c>
      <c r="AT38" s="81" t="e">
        <f t="array" ref="AT38">_xlfn.STDEV.P(IF($E$5:$E$14=$E37,AT$5:AT$14))</f>
        <v>#DIV/0!</v>
      </c>
      <c r="AU38" s="81" t="e">
        <f t="array" ref="AU38">_xlfn.STDEV.P(IF($E$5:$E$14=$E37,AU$5:AU$14))</f>
        <v>#DIV/0!</v>
      </c>
      <c r="AV38" s="81" t="e">
        <f t="array" ref="AV38">_xlfn.STDEV.P(IF($E$5:$E$14=$E37,AV$5:AV$14))</f>
        <v>#DIV/0!</v>
      </c>
      <c r="AW38" s="81" t="e">
        <f t="array" ref="AW38">_xlfn.STDEV.P(IF($E$5:$E$14=$E37,AW$5:AW$14))</f>
        <v>#DIV/0!</v>
      </c>
      <c r="AX38" s="81" t="e">
        <f t="array" ref="AX38">_xlfn.STDEV.P(IF($E$5:$E$14=$E37,AX$5:AX$14))</f>
        <v>#DIV/0!</v>
      </c>
      <c r="AY38" s="81" t="e">
        <f t="array" ref="AY38">_xlfn.STDEV.P(IF($E$5:$E$14=$E37,AY$5:AY$14))</f>
        <v>#DIV/0!</v>
      </c>
      <c r="AZ38" s="81" t="e">
        <f t="array" ref="AZ38">_xlfn.STDEV.P(IF($E$5:$E$14=$E37,AZ$5:AZ$14))</f>
        <v>#DIV/0!</v>
      </c>
      <c r="BA38" s="81" t="e">
        <f t="array" ref="BA38">_xlfn.STDEV.P(IF($E$5:$E$14=$E37,BA$5:BA$14))</f>
        <v>#DIV/0!</v>
      </c>
      <c r="BB38" s="81" t="e">
        <f t="array" ref="BB38">_xlfn.STDEV.P(IF($E$5:$E$14=$E37,BB$5:BB$14))</f>
        <v>#DIV/0!</v>
      </c>
      <c r="BC38" s="81" t="e">
        <f t="array" ref="BC38">_xlfn.STDEV.P(IF($E$5:$E$14=$E37,BC$5:BC$14))</f>
        <v>#DIV/0!</v>
      </c>
      <c r="BD38" s="81" t="e">
        <f t="array" ref="BD38">_xlfn.STDEV.P(IF($E$5:$E$14=$E37,BD$5:BD$14))</f>
        <v>#DIV/0!</v>
      </c>
      <c r="BE38" s="104" t="s">
        <v>11</v>
      </c>
      <c r="BF38" s="74" t="e">
        <f t="array" ref="BF38">_xlfn.STDEV.P(IF($E$5:$E$14=$E37,BF$5:BF$14))</f>
        <v>#DIV/0!</v>
      </c>
      <c r="BG38" s="74" t="e">
        <f t="array" ref="BG38">_xlfn.STDEV.P(IF($E$5:$E$14=$E37,BG$5:BG$14))</f>
        <v>#DIV/0!</v>
      </c>
      <c r="BH38" s="74" t="e">
        <f t="array" ref="BH38">_xlfn.STDEV.P(IF($E$5:$E$14=$E37,BH$5:BH$14))</f>
        <v>#DIV/0!</v>
      </c>
      <c r="BI38" s="74" t="e">
        <f t="array" ref="BI38">_xlfn.STDEV.P(IF($E$5:$E$14=$E37,BI$5:BI$14))</f>
        <v>#DIV/0!</v>
      </c>
      <c r="BJ38" s="74" t="e">
        <f t="array" ref="BJ38">_xlfn.STDEV.P(IF($E$5:$E$14=$E37,BJ$5:BJ$14))</f>
        <v>#DIV/0!</v>
      </c>
      <c r="BK38" s="74" t="e">
        <f t="array" ref="BK38">_xlfn.STDEV.P(IF($E$5:$E$14=$E37,BK$5:BK$14))</f>
        <v>#DIV/0!</v>
      </c>
      <c r="BL38" s="74" t="e">
        <f t="array" ref="BL38">_xlfn.STDEV.P(IF($E$5:$E$14=$E37,BL$5:BL$14))</f>
        <v>#DIV/0!</v>
      </c>
      <c r="BM38" s="74" t="e">
        <f t="array" ref="BM38">_xlfn.STDEV.P(IF($E$5:$E$14=$E37,BM$5:BM$14))</f>
        <v>#DIV/0!</v>
      </c>
      <c r="BN38" s="74" t="e">
        <f t="array" ref="BN38">_xlfn.STDEV.P(IF($E$5:$E$14=$E37,BN$5:BN$14))</f>
        <v>#DIV/0!</v>
      </c>
      <c r="BO38" s="74" t="e">
        <f t="array" ref="BO38">_xlfn.STDEV.P(IF($E$5:$E$14=$E37,BO$5:BO$14))</f>
        <v>#DIV/0!</v>
      </c>
      <c r="BP38" s="74" t="e">
        <f t="array" ref="BP38">_xlfn.STDEV.P(IF($E$5:$E$14=$E37,BP$5:BP$14))</f>
        <v>#DIV/0!</v>
      </c>
      <c r="BQ38" s="74" t="e">
        <f t="array" ref="BQ38">_xlfn.STDEV.P(IF($E$5:$E$14=$E37,BQ$5:BQ$14))</f>
        <v>#DIV/0!</v>
      </c>
      <c r="BR38" s="74" t="e">
        <f t="array" ref="BR38">_xlfn.STDEV.P(IF($E$5:$E$14=$E37,BR$5:BR$14))</f>
        <v>#DIV/0!</v>
      </c>
      <c r="BS38" s="74" t="e">
        <f t="array" ref="BS38">_xlfn.STDEV.P(IF($E$5:$E$14=$E37,BS$5:BS$14))</f>
        <v>#DIV/0!</v>
      </c>
      <c r="BT38" s="74" t="e">
        <f t="array" ref="BT38">_xlfn.STDEV.P(IF($E$5:$E$14=$E37,BT$5:BT$14))</f>
        <v>#DIV/0!</v>
      </c>
      <c r="BU38" s="74" t="e">
        <f t="array" ref="BU38">_xlfn.STDEV.P(IF($E$5:$E$14=$E37,BU$5:BU$14))</f>
        <v>#DIV/0!</v>
      </c>
      <c r="BV38" s="74" t="e">
        <f t="array" ref="BV38">_xlfn.STDEV.P(IF($E$5:$E$14=$E37,BV$5:BV$14))</f>
        <v>#DIV/0!</v>
      </c>
      <c r="BW38" s="74" t="e">
        <f t="array" ref="BW38">_xlfn.STDEV.P(IF($E$5:$E$14=$E37,BW$5:BW$14))</f>
        <v>#DIV/0!</v>
      </c>
      <c r="BX38" s="74" t="e">
        <f t="array" ref="BX38">_xlfn.STDEV.P(IF($E$5:$E$14=$E37,BX$5:BX$14))</f>
        <v>#DIV/0!</v>
      </c>
      <c r="BY38" s="74" t="e">
        <f t="array" ref="BY38">_xlfn.STDEV.P(IF($E$5:$E$14=$E37,BY$5:BY$14))</f>
        <v>#DIV/0!</v>
      </c>
      <c r="BZ38" s="74" t="e">
        <f t="array" ref="BZ38">_xlfn.STDEV.P(IF($E$5:$E$14=$E37,BZ$5:BZ$14))</f>
        <v>#DIV/0!</v>
      </c>
      <c r="CA38" s="74" t="e">
        <f t="array" ref="CA38">_xlfn.STDEV.P(IF($E$5:$E$14=$E37,CA$5:CA$14))</f>
        <v>#DIV/0!</v>
      </c>
      <c r="CB38" s="74" t="e">
        <f t="array" ref="CB38">_xlfn.STDEV.P(IF($E$5:$E$14=$E37,CB$5:CB$14))</f>
        <v>#DIV/0!</v>
      </c>
      <c r="CC38" s="74" t="e">
        <f t="array" ref="CC38">_xlfn.STDEV.P(IF($E$5:$E$14=$E37,CC$5:CC$14))</f>
        <v>#DIV/0!</v>
      </c>
      <c r="CD38" s="74" t="e">
        <f t="array" ref="CD38">_xlfn.STDEV.P(IF($E$5:$E$14=$E37,CD$5:CD$14))</f>
        <v>#DIV/0!</v>
      </c>
      <c r="CE38" s="74" t="e">
        <f t="array" ref="CE38">_xlfn.STDEV.P(IF($E$5:$E$14=$E37,CE$5:CE$14))</f>
        <v>#DIV/0!</v>
      </c>
      <c r="CF38" s="74" t="e">
        <f t="array" ref="CF38">_xlfn.STDEV.P(IF($E$5:$E$14=$E37,CF$5:CF$14))</f>
        <v>#DIV/0!</v>
      </c>
      <c r="CG38" s="74" t="e">
        <f t="array" ref="CG38">_xlfn.STDEV.P(IF($E$5:$E$14=$E37,CG$5:CG$14))</f>
        <v>#DIV/0!</v>
      </c>
      <c r="CH38" s="74" t="e">
        <f t="array" ref="CH38">_xlfn.STDEV.P(IF($E$5:$E$14=$E37,CH$5:CH$14))</f>
        <v>#DIV/0!</v>
      </c>
      <c r="CI38" s="74" t="e">
        <f t="array" ref="CI38">_xlfn.STDEV.P(IF($E$5:$E$14=$E37,CI$5:CI$14))</f>
        <v>#DIV/0!</v>
      </c>
      <c r="CJ38" s="74" t="e">
        <f t="array" ref="CJ38">_xlfn.STDEV.P(IF($E$5:$E$14=$E37,CJ$5:CJ$14))</f>
        <v>#DIV/0!</v>
      </c>
      <c r="CK38" s="74" t="e">
        <f t="array" ref="CK38">_xlfn.STDEV.P(IF($E$5:$E$14=$E37,CK$5:CK$14))</f>
        <v>#DIV/0!</v>
      </c>
      <c r="CL38" s="74" t="e">
        <f t="array" ref="CL38">_xlfn.STDEV.P(IF($E$5:$E$14=$E37,CL$5:CL$14))</f>
        <v>#DIV/0!</v>
      </c>
      <c r="CM38" s="74" t="e">
        <f t="array" ref="CM38">_xlfn.STDEV.P(IF($E$5:$E$14=$E37,CM$5:CM$14))</f>
        <v>#DIV/0!</v>
      </c>
      <c r="CN38" s="74" t="e">
        <f t="array" ref="CN38">_xlfn.STDEV.P(IF($E$5:$E$14=$E37,CN$5:CN$14))</f>
        <v>#DIV/0!</v>
      </c>
      <c r="CO38" s="74" t="e">
        <f t="array" ref="CO38">_xlfn.STDEV.P(IF($E$5:$E$14=$E37,CO$5:CO$14))</f>
        <v>#DIV/0!</v>
      </c>
      <c r="CP38" s="74" t="e">
        <f t="array" ref="CP38">_xlfn.STDEV.P(IF($E$5:$E$14=$E37,CP$5:CP$14))</f>
        <v>#DIV/0!</v>
      </c>
      <c r="CQ38" s="74" t="e">
        <f t="array" ref="CQ38">_xlfn.STDEV.P(IF($E$5:$E$14=$E37,CQ$5:CQ$14))</f>
        <v>#DIV/0!</v>
      </c>
      <c r="CR38" s="74" t="e">
        <f t="array" ref="CR38">_xlfn.STDEV.P(IF($E$5:$E$14=$E37,CR$5:CR$14))</f>
        <v>#DIV/0!</v>
      </c>
      <c r="CS38" s="74" t="e">
        <f t="array" ref="CS38">_xlfn.STDEV.P(IF($E$5:$E$14=$E37,CS$5:CS$14))</f>
        <v>#DIV/0!</v>
      </c>
      <c r="CT38" s="74" t="e">
        <f t="array" ref="CT38">_xlfn.STDEV.P(IF($E$5:$E$14=$E37,CT$5:CT$14))</f>
        <v>#DIV/0!</v>
      </c>
      <c r="CU38" s="74" t="e">
        <f t="array" ref="CU38">_xlfn.STDEV.P(IF($E$5:$E$14=$E37,CU$5:CU$14))</f>
        <v>#DIV/0!</v>
      </c>
      <c r="CV38" s="74" t="e">
        <f t="array" ref="CV38">_xlfn.STDEV.P(IF($E$5:$E$14=$E37,CV$5:CV$14))</f>
        <v>#DIV/0!</v>
      </c>
      <c r="CW38" s="74" t="e">
        <f t="array" ref="CW38">_xlfn.STDEV.P(IF($E$5:$E$14=$E37,CW$5:CW$14))</f>
        <v>#DIV/0!</v>
      </c>
      <c r="CX38" s="74" t="e">
        <f t="array" ref="CX38">_xlfn.STDEV.P(IF($E$5:$E$14=$E37,CX$5:CX$14))</f>
        <v>#DIV/0!</v>
      </c>
      <c r="CY38" s="76"/>
    </row>
    <row r="39" spans="1:103" ht="15">
      <c r="A39" s="113"/>
      <c r="E39" s="118"/>
      <c r="I39" s="52"/>
    </row>
    <row r="40" spans="1:103" ht="14.25" customHeight="1">
      <c r="A40" s="113"/>
      <c r="E40" s="118" t="str">
        <f>'AsPc1 REPEAT Groups'!C13</f>
        <v>Group 8</v>
      </c>
      <c r="I40" s="118" t="str">
        <f>E40</f>
        <v>Group 8</v>
      </c>
      <c r="J40" s="318" t="e">
        <f>AVERAGEIF($E$5:$E$14,$E40,J$5:J$14)</f>
        <v>#DIV/0!</v>
      </c>
      <c r="K40" s="72" t="s">
        <v>9</v>
      </c>
      <c r="L40" s="78" t="e">
        <f t="shared" ref="L40:BD40" si="24">AVERAGEIF($E$5:$E$14,$E40,L$5:L$14)</f>
        <v>#DIV/0!</v>
      </c>
      <c r="M40" s="78" t="e">
        <f t="shared" si="24"/>
        <v>#DIV/0!</v>
      </c>
      <c r="N40" s="78" t="e">
        <f t="shared" si="24"/>
        <v>#DIV/0!</v>
      </c>
      <c r="O40" s="78" t="e">
        <f t="shared" si="24"/>
        <v>#DIV/0!</v>
      </c>
      <c r="P40" s="78" t="e">
        <f t="shared" si="24"/>
        <v>#DIV/0!</v>
      </c>
      <c r="Q40" s="78" t="e">
        <f t="shared" si="24"/>
        <v>#DIV/0!</v>
      </c>
      <c r="R40" s="78" t="e">
        <f t="shared" si="24"/>
        <v>#DIV/0!</v>
      </c>
      <c r="S40" s="78" t="e">
        <f t="shared" si="24"/>
        <v>#DIV/0!</v>
      </c>
      <c r="T40" s="78" t="e">
        <f t="shared" si="24"/>
        <v>#DIV/0!</v>
      </c>
      <c r="U40" s="78" t="e">
        <f t="shared" si="24"/>
        <v>#DIV/0!</v>
      </c>
      <c r="V40" s="78" t="e">
        <f t="shared" si="24"/>
        <v>#DIV/0!</v>
      </c>
      <c r="W40" s="78" t="e">
        <f t="shared" si="24"/>
        <v>#DIV/0!</v>
      </c>
      <c r="X40" s="78" t="e">
        <f t="shared" si="24"/>
        <v>#DIV/0!</v>
      </c>
      <c r="Y40" s="78" t="e">
        <f t="shared" si="24"/>
        <v>#DIV/0!</v>
      </c>
      <c r="Z40" s="78" t="e">
        <f t="shared" si="24"/>
        <v>#DIV/0!</v>
      </c>
      <c r="AA40" s="78" t="e">
        <f t="shared" si="24"/>
        <v>#DIV/0!</v>
      </c>
      <c r="AB40" s="78" t="e">
        <f t="shared" si="24"/>
        <v>#DIV/0!</v>
      </c>
      <c r="AC40" s="78" t="e">
        <f t="shared" si="24"/>
        <v>#DIV/0!</v>
      </c>
      <c r="AD40" s="78" t="e">
        <f t="shared" si="24"/>
        <v>#DIV/0!</v>
      </c>
      <c r="AE40" s="78" t="e">
        <f t="shared" si="24"/>
        <v>#DIV/0!</v>
      </c>
      <c r="AF40" s="78" t="e">
        <f t="shared" si="24"/>
        <v>#DIV/0!</v>
      </c>
      <c r="AG40" s="78" t="e">
        <f t="shared" si="24"/>
        <v>#DIV/0!</v>
      </c>
      <c r="AH40" s="78" t="e">
        <f t="shared" si="24"/>
        <v>#DIV/0!</v>
      </c>
      <c r="AI40" s="78" t="e">
        <f t="shared" si="24"/>
        <v>#DIV/0!</v>
      </c>
      <c r="AJ40" s="78" t="e">
        <f t="shared" si="24"/>
        <v>#DIV/0!</v>
      </c>
      <c r="AK40" s="78" t="e">
        <f t="shared" si="24"/>
        <v>#DIV/0!</v>
      </c>
      <c r="AL40" s="78" t="e">
        <f t="shared" si="24"/>
        <v>#DIV/0!</v>
      </c>
      <c r="AM40" s="78" t="e">
        <f t="shared" si="24"/>
        <v>#DIV/0!</v>
      </c>
      <c r="AN40" s="78" t="e">
        <f t="shared" si="24"/>
        <v>#DIV/0!</v>
      </c>
      <c r="AO40" s="78" t="e">
        <f t="shared" si="24"/>
        <v>#DIV/0!</v>
      </c>
      <c r="AP40" s="78" t="e">
        <f t="shared" si="24"/>
        <v>#DIV/0!</v>
      </c>
      <c r="AQ40" s="78" t="e">
        <f t="shared" si="24"/>
        <v>#DIV/0!</v>
      </c>
      <c r="AR40" s="78" t="e">
        <f t="shared" si="24"/>
        <v>#DIV/0!</v>
      </c>
      <c r="AS40" s="78" t="e">
        <f t="shared" si="24"/>
        <v>#DIV/0!</v>
      </c>
      <c r="AT40" s="78" t="e">
        <f t="shared" si="24"/>
        <v>#DIV/0!</v>
      </c>
      <c r="AU40" s="78" t="e">
        <f t="shared" si="24"/>
        <v>#DIV/0!</v>
      </c>
      <c r="AV40" s="78" t="e">
        <f t="shared" si="24"/>
        <v>#DIV/0!</v>
      </c>
      <c r="AW40" s="78" t="e">
        <f t="shared" si="24"/>
        <v>#DIV/0!</v>
      </c>
      <c r="AX40" s="78" t="e">
        <f t="shared" si="24"/>
        <v>#DIV/0!</v>
      </c>
      <c r="AY40" s="78" t="e">
        <f t="shared" si="24"/>
        <v>#DIV/0!</v>
      </c>
      <c r="AZ40" s="78" t="e">
        <f t="shared" si="24"/>
        <v>#DIV/0!</v>
      </c>
      <c r="BA40" s="78" t="e">
        <f t="shared" si="24"/>
        <v>#DIV/0!</v>
      </c>
      <c r="BB40" s="78" t="e">
        <f t="shared" si="24"/>
        <v>#DIV/0!</v>
      </c>
      <c r="BC40" s="78" t="e">
        <f t="shared" si="24"/>
        <v>#DIV/0!</v>
      </c>
      <c r="BD40" s="78" t="e">
        <f t="shared" si="24"/>
        <v>#DIV/0!</v>
      </c>
      <c r="BE40" s="103" t="s">
        <v>9</v>
      </c>
      <c r="BF40" s="73" t="e">
        <f t="shared" ref="BF40:CX40" si="25">AVERAGEIF($E$5:$E$14,$E40,BF$5:BF$14)</f>
        <v>#DIV/0!</v>
      </c>
      <c r="BG40" s="73" t="e">
        <f t="shared" si="25"/>
        <v>#DIV/0!</v>
      </c>
      <c r="BH40" s="73" t="e">
        <f t="shared" si="25"/>
        <v>#DIV/0!</v>
      </c>
      <c r="BI40" s="73" t="e">
        <f t="shared" si="25"/>
        <v>#DIV/0!</v>
      </c>
      <c r="BJ40" s="73" t="e">
        <f t="shared" si="25"/>
        <v>#DIV/0!</v>
      </c>
      <c r="BK40" s="73" t="e">
        <f t="shared" si="25"/>
        <v>#DIV/0!</v>
      </c>
      <c r="BL40" s="73" t="e">
        <f t="shared" si="25"/>
        <v>#DIV/0!</v>
      </c>
      <c r="BM40" s="73" t="e">
        <f t="shared" si="25"/>
        <v>#DIV/0!</v>
      </c>
      <c r="BN40" s="73" t="e">
        <f t="shared" si="25"/>
        <v>#DIV/0!</v>
      </c>
      <c r="BO40" s="73" t="e">
        <f t="shared" si="25"/>
        <v>#DIV/0!</v>
      </c>
      <c r="BP40" s="73" t="e">
        <f t="shared" si="25"/>
        <v>#DIV/0!</v>
      </c>
      <c r="BQ40" s="73" t="e">
        <f t="shared" si="25"/>
        <v>#DIV/0!</v>
      </c>
      <c r="BR40" s="73" t="e">
        <f t="shared" si="25"/>
        <v>#DIV/0!</v>
      </c>
      <c r="BS40" s="73" t="e">
        <f t="shared" si="25"/>
        <v>#DIV/0!</v>
      </c>
      <c r="BT40" s="73" t="e">
        <f t="shared" si="25"/>
        <v>#DIV/0!</v>
      </c>
      <c r="BU40" s="73" t="e">
        <f t="shared" si="25"/>
        <v>#DIV/0!</v>
      </c>
      <c r="BV40" s="73" t="e">
        <f t="shared" si="25"/>
        <v>#DIV/0!</v>
      </c>
      <c r="BW40" s="73" t="e">
        <f t="shared" si="25"/>
        <v>#DIV/0!</v>
      </c>
      <c r="BX40" s="73" t="e">
        <f t="shared" si="25"/>
        <v>#DIV/0!</v>
      </c>
      <c r="BY40" s="73" t="e">
        <f t="shared" si="25"/>
        <v>#DIV/0!</v>
      </c>
      <c r="BZ40" s="73" t="e">
        <f t="shared" si="25"/>
        <v>#DIV/0!</v>
      </c>
      <c r="CA40" s="73" t="e">
        <f t="shared" si="25"/>
        <v>#DIV/0!</v>
      </c>
      <c r="CB40" s="73" t="e">
        <f t="shared" si="25"/>
        <v>#DIV/0!</v>
      </c>
      <c r="CC40" s="73" t="e">
        <f t="shared" si="25"/>
        <v>#DIV/0!</v>
      </c>
      <c r="CD40" s="73" t="e">
        <f t="shared" si="25"/>
        <v>#DIV/0!</v>
      </c>
      <c r="CE40" s="73" t="e">
        <f t="shared" si="25"/>
        <v>#DIV/0!</v>
      </c>
      <c r="CF40" s="73" t="e">
        <f t="shared" si="25"/>
        <v>#DIV/0!</v>
      </c>
      <c r="CG40" s="73" t="e">
        <f t="shared" si="25"/>
        <v>#DIV/0!</v>
      </c>
      <c r="CH40" s="73" t="e">
        <f t="shared" si="25"/>
        <v>#DIV/0!</v>
      </c>
      <c r="CI40" s="73" t="e">
        <f t="shared" si="25"/>
        <v>#DIV/0!</v>
      </c>
      <c r="CJ40" s="73" t="e">
        <f t="shared" si="25"/>
        <v>#DIV/0!</v>
      </c>
      <c r="CK40" s="73" t="e">
        <f t="shared" si="25"/>
        <v>#DIV/0!</v>
      </c>
      <c r="CL40" s="73" t="e">
        <f t="shared" si="25"/>
        <v>#DIV/0!</v>
      </c>
      <c r="CM40" s="73" t="e">
        <f t="shared" si="25"/>
        <v>#DIV/0!</v>
      </c>
      <c r="CN40" s="73" t="e">
        <f t="shared" si="25"/>
        <v>#DIV/0!</v>
      </c>
      <c r="CO40" s="73" t="e">
        <f t="shared" si="25"/>
        <v>#DIV/0!</v>
      </c>
      <c r="CP40" s="73" t="e">
        <f t="shared" si="25"/>
        <v>#DIV/0!</v>
      </c>
      <c r="CQ40" s="73" t="e">
        <f t="shared" si="25"/>
        <v>#DIV/0!</v>
      </c>
      <c r="CR40" s="73" t="e">
        <f t="shared" si="25"/>
        <v>#DIV/0!</v>
      </c>
      <c r="CS40" s="73" t="e">
        <f t="shared" si="25"/>
        <v>#DIV/0!</v>
      </c>
      <c r="CT40" s="73" t="e">
        <f t="shared" si="25"/>
        <v>#DIV/0!</v>
      </c>
      <c r="CU40" s="73" t="e">
        <f t="shared" si="25"/>
        <v>#DIV/0!</v>
      </c>
      <c r="CV40" s="73" t="e">
        <f t="shared" si="25"/>
        <v>#DIV/0!</v>
      </c>
      <c r="CW40" s="73" t="e">
        <f t="shared" si="25"/>
        <v>#DIV/0!</v>
      </c>
      <c r="CX40" s="73" t="e">
        <f t="shared" si="25"/>
        <v>#DIV/0!</v>
      </c>
      <c r="CY40" s="76"/>
    </row>
    <row r="41" spans="1:103" ht="14.25" customHeight="1">
      <c r="A41" s="113"/>
      <c r="E41" s="93"/>
      <c r="I41" s="93"/>
      <c r="J41" s="318" t="e">
        <f t="array" ref="J41">_xlfn.STDEV.P(IF($E$5:$E$14=$E40,J$5:J$14))</f>
        <v>#DIV/0!</v>
      </c>
      <c r="K41" s="72" t="s">
        <v>11</v>
      </c>
      <c r="L41" s="81" t="e">
        <f t="array" ref="L41">_xlfn.STDEV.P(IF($E$5:$E$14=$E40,L$5:L$14))</f>
        <v>#DIV/0!</v>
      </c>
      <c r="M41" s="81" t="e">
        <f t="array" ref="M41">_xlfn.STDEV.P(IF($E$5:$E$14=$E40,M$5:M$14))</f>
        <v>#DIV/0!</v>
      </c>
      <c r="N41" s="81" t="e">
        <f t="array" ref="N41">_xlfn.STDEV.P(IF($E$5:$E$14=$E40,N$5:N$14))</f>
        <v>#DIV/0!</v>
      </c>
      <c r="O41" s="81" t="e">
        <f t="array" ref="O41">_xlfn.STDEV.P(IF($E$5:$E$14=$E40,O$5:O$14))</f>
        <v>#DIV/0!</v>
      </c>
      <c r="P41" s="81" t="e">
        <f t="array" ref="P41">_xlfn.STDEV.P(IF($E$5:$E$14=$E40,P$5:P$14))</f>
        <v>#DIV/0!</v>
      </c>
      <c r="Q41" s="81" t="e">
        <f t="array" ref="Q41">_xlfn.STDEV.P(IF($E$5:$E$14=$E40,Q$5:Q$14))</f>
        <v>#DIV/0!</v>
      </c>
      <c r="R41" s="81" t="e">
        <f t="array" ref="R41">_xlfn.STDEV.P(IF($E$5:$E$14=$E40,R$5:R$14))</f>
        <v>#DIV/0!</v>
      </c>
      <c r="S41" s="81" t="e">
        <f t="array" ref="S41">_xlfn.STDEV.P(IF($E$5:$E$14=$E40,S$5:S$14))</f>
        <v>#DIV/0!</v>
      </c>
      <c r="T41" s="81" t="e">
        <f t="array" ref="T41">_xlfn.STDEV.P(IF($E$5:$E$14=$E40,T$5:T$14))</f>
        <v>#DIV/0!</v>
      </c>
      <c r="U41" s="81" t="e">
        <f t="array" ref="U41">_xlfn.STDEV.P(IF($E$5:$E$14=$E40,U$5:U$14))</f>
        <v>#DIV/0!</v>
      </c>
      <c r="V41" s="81" t="e">
        <f t="array" ref="V41">_xlfn.STDEV.P(IF($E$5:$E$14=$E40,V$5:V$14))</f>
        <v>#DIV/0!</v>
      </c>
      <c r="W41" s="81" t="e">
        <f t="array" ref="W41">_xlfn.STDEV.P(IF($E$5:$E$14=$E40,W$5:W$14))</f>
        <v>#DIV/0!</v>
      </c>
      <c r="X41" s="81" t="e">
        <f t="array" ref="X41">_xlfn.STDEV.P(IF($E$5:$E$14=$E40,X$5:X$14))</f>
        <v>#DIV/0!</v>
      </c>
      <c r="Y41" s="81" t="e">
        <f t="array" ref="Y41">_xlfn.STDEV.P(IF($E$5:$E$14=$E40,Y$5:Y$14))</f>
        <v>#DIV/0!</v>
      </c>
      <c r="Z41" s="81" t="e">
        <f t="array" ref="Z41">_xlfn.STDEV.P(IF($E$5:$E$14=$E40,Z$5:Z$14))</f>
        <v>#DIV/0!</v>
      </c>
      <c r="AA41" s="81" t="e">
        <f t="array" ref="AA41">_xlfn.STDEV.P(IF($E$5:$E$14=$E40,AA$5:AA$14))</f>
        <v>#DIV/0!</v>
      </c>
      <c r="AB41" s="81" t="e">
        <f t="array" ref="AB41">_xlfn.STDEV.P(IF($E$5:$E$14=$E40,AB$5:AB$14))</f>
        <v>#DIV/0!</v>
      </c>
      <c r="AC41" s="81" t="e">
        <f t="array" ref="AC41">_xlfn.STDEV.P(IF($E$5:$E$14=$E40,AC$5:AC$14))</f>
        <v>#DIV/0!</v>
      </c>
      <c r="AD41" s="81" t="e">
        <f t="array" ref="AD41">_xlfn.STDEV.P(IF($E$5:$E$14=$E40,AD$5:AD$14))</f>
        <v>#DIV/0!</v>
      </c>
      <c r="AE41" s="81" t="e">
        <f t="array" ref="AE41">_xlfn.STDEV.P(IF($E$5:$E$14=$E40,AE$5:AE$14))</f>
        <v>#DIV/0!</v>
      </c>
      <c r="AF41" s="81" t="e">
        <f t="array" ref="AF41">_xlfn.STDEV.P(IF($E$5:$E$14=$E40,AF$5:AF$14))</f>
        <v>#DIV/0!</v>
      </c>
      <c r="AG41" s="81" t="e">
        <f t="array" ref="AG41">_xlfn.STDEV.P(IF($E$5:$E$14=$E40,AG$5:AG$14))</f>
        <v>#DIV/0!</v>
      </c>
      <c r="AH41" s="81" t="e">
        <f t="array" ref="AH41">_xlfn.STDEV.P(IF($E$5:$E$14=$E40,AH$5:AH$14))</f>
        <v>#DIV/0!</v>
      </c>
      <c r="AI41" s="81" t="e">
        <f t="array" ref="AI41">_xlfn.STDEV.P(IF($E$5:$E$14=$E40,AI$5:AI$14))</f>
        <v>#DIV/0!</v>
      </c>
      <c r="AJ41" s="81" t="e">
        <f t="array" ref="AJ41">_xlfn.STDEV.P(IF($E$5:$E$14=$E40,AJ$5:AJ$14))</f>
        <v>#DIV/0!</v>
      </c>
      <c r="AK41" s="81" t="e">
        <f t="array" ref="AK41">_xlfn.STDEV.P(IF($E$5:$E$14=$E40,AK$5:AK$14))</f>
        <v>#DIV/0!</v>
      </c>
      <c r="AL41" s="81" t="e">
        <f t="array" ref="AL41">_xlfn.STDEV.P(IF($E$5:$E$14=$E40,AL$5:AL$14))</f>
        <v>#DIV/0!</v>
      </c>
      <c r="AM41" s="81" t="e">
        <f t="array" ref="AM41">_xlfn.STDEV.P(IF($E$5:$E$14=$E40,AM$5:AM$14))</f>
        <v>#DIV/0!</v>
      </c>
      <c r="AN41" s="81" t="e">
        <f t="array" ref="AN41">_xlfn.STDEV.P(IF($E$5:$E$14=$E40,AN$5:AN$14))</f>
        <v>#DIV/0!</v>
      </c>
      <c r="AO41" s="81" t="e">
        <f t="array" ref="AO41">_xlfn.STDEV.P(IF($E$5:$E$14=$E40,AO$5:AO$14))</f>
        <v>#DIV/0!</v>
      </c>
      <c r="AP41" s="81" t="e">
        <f t="array" ref="AP41">_xlfn.STDEV.P(IF($E$5:$E$14=$E40,AP$5:AP$14))</f>
        <v>#DIV/0!</v>
      </c>
      <c r="AQ41" s="81" t="e">
        <f t="array" ref="AQ41">_xlfn.STDEV.P(IF($E$5:$E$14=$E40,AQ$5:AQ$14))</f>
        <v>#DIV/0!</v>
      </c>
      <c r="AR41" s="81" t="e">
        <f t="array" ref="AR41">_xlfn.STDEV.P(IF($E$5:$E$14=$E40,AR$5:AR$14))</f>
        <v>#DIV/0!</v>
      </c>
      <c r="AS41" s="81" t="e">
        <f t="array" ref="AS41">_xlfn.STDEV.P(IF($E$5:$E$14=$E40,AS$5:AS$14))</f>
        <v>#DIV/0!</v>
      </c>
      <c r="AT41" s="81" t="e">
        <f t="array" ref="AT41">_xlfn.STDEV.P(IF($E$5:$E$14=$E40,AT$5:AT$14))</f>
        <v>#DIV/0!</v>
      </c>
      <c r="AU41" s="81" t="e">
        <f t="array" ref="AU41">_xlfn.STDEV.P(IF($E$5:$E$14=$E40,AU$5:AU$14))</f>
        <v>#DIV/0!</v>
      </c>
      <c r="AV41" s="81" t="e">
        <f t="array" ref="AV41">_xlfn.STDEV.P(IF($E$5:$E$14=$E40,AV$5:AV$14))</f>
        <v>#DIV/0!</v>
      </c>
      <c r="AW41" s="81" t="e">
        <f t="array" ref="AW41">_xlfn.STDEV.P(IF($E$5:$E$14=$E40,AW$5:AW$14))</f>
        <v>#DIV/0!</v>
      </c>
      <c r="AX41" s="81" t="e">
        <f t="array" ref="AX41">_xlfn.STDEV.P(IF($E$5:$E$14=$E40,AX$5:AX$14))</f>
        <v>#DIV/0!</v>
      </c>
      <c r="AY41" s="81" t="e">
        <f t="array" ref="AY41">_xlfn.STDEV.P(IF($E$5:$E$14=$E40,AY$5:AY$14))</f>
        <v>#DIV/0!</v>
      </c>
      <c r="AZ41" s="81" t="e">
        <f t="array" ref="AZ41">_xlfn.STDEV.P(IF($E$5:$E$14=$E40,AZ$5:AZ$14))</f>
        <v>#DIV/0!</v>
      </c>
      <c r="BA41" s="81" t="e">
        <f t="array" ref="BA41">_xlfn.STDEV.P(IF($E$5:$E$14=$E40,BA$5:BA$14))</f>
        <v>#DIV/0!</v>
      </c>
      <c r="BB41" s="81" t="e">
        <f t="array" ref="BB41">_xlfn.STDEV.P(IF($E$5:$E$14=$E40,BB$5:BB$14))</f>
        <v>#DIV/0!</v>
      </c>
      <c r="BC41" s="81" t="e">
        <f t="array" ref="BC41">_xlfn.STDEV.P(IF($E$5:$E$14=$E40,BC$5:BC$14))</f>
        <v>#DIV/0!</v>
      </c>
      <c r="BD41" s="81" t="e">
        <f t="array" ref="BD41">_xlfn.STDEV.P(IF($E$5:$E$14=$E40,BD$5:BD$14))</f>
        <v>#DIV/0!</v>
      </c>
      <c r="BE41" s="104" t="s">
        <v>11</v>
      </c>
      <c r="BF41" s="74" t="e">
        <f t="array" ref="BF41">_xlfn.STDEV.P(IF($E$5:$E$14=$E40,BF$5:BF$14))</f>
        <v>#DIV/0!</v>
      </c>
      <c r="BG41" s="74" t="e">
        <f t="array" ref="BG41">_xlfn.STDEV.P(IF($E$5:$E$14=$E40,BG$5:BG$14))</f>
        <v>#DIV/0!</v>
      </c>
      <c r="BH41" s="74" t="e">
        <f t="array" ref="BH41">_xlfn.STDEV.P(IF($E$5:$E$14=$E40,BH$5:BH$14))</f>
        <v>#DIV/0!</v>
      </c>
      <c r="BI41" s="74" t="e">
        <f t="array" ref="BI41">_xlfn.STDEV.P(IF($E$5:$E$14=$E40,BI$5:BI$14))</f>
        <v>#DIV/0!</v>
      </c>
      <c r="BJ41" s="74" t="e">
        <f t="array" ref="BJ41">_xlfn.STDEV.P(IF($E$5:$E$14=$E40,BJ$5:BJ$14))</f>
        <v>#DIV/0!</v>
      </c>
      <c r="BK41" s="74" t="e">
        <f t="array" ref="BK41">_xlfn.STDEV.P(IF($E$5:$E$14=$E40,BK$5:BK$14))</f>
        <v>#DIV/0!</v>
      </c>
      <c r="BL41" s="74" t="e">
        <f t="array" ref="BL41">_xlfn.STDEV.P(IF($E$5:$E$14=$E40,BL$5:BL$14))</f>
        <v>#DIV/0!</v>
      </c>
      <c r="BM41" s="74" t="e">
        <f t="array" ref="BM41">_xlfn.STDEV.P(IF($E$5:$E$14=$E40,BM$5:BM$14))</f>
        <v>#DIV/0!</v>
      </c>
      <c r="BN41" s="74" t="e">
        <f t="array" ref="BN41">_xlfn.STDEV.P(IF($E$5:$E$14=$E40,BN$5:BN$14))</f>
        <v>#DIV/0!</v>
      </c>
      <c r="BO41" s="74" t="e">
        <f t="array" ref="BO41">_xlfn.STDEV.P(IF($E$5:$E$14=$E40,BO$5:BO$14))</f>
        <v>#DIV/0!</v>
      </c>
      <c r="BP41" s="74" t="e">
        <f t="array" ref="BP41">_xlfn.STDEV.P(IF($E$5:$E$14=$E40,BP$5:BP$14))</f>
        <v>#DIV/0!</v>
      </c>
      <c r="BQ41" s="74" t="e">
        <f t="array" ref="BQ41">_xlfn.STDEV.P(IF($E$5:$E$14=$E40,BQ$5:BQ$14))</f>
        <v>#DIV/0!</v>
      </c>
      <c r="BR41" s="74" t="e">
        <f t="array" ref="BR41">_xlfn.STDEV.P(IF($E$5:$E$14=$E40,BR$5:BR$14))</f>
        <v>#DIV/0!</v>
      </c>
      <c r="BS41" s="74" t="e">
        <f t="array" ref="BS41">_xlfn.STDEV.P(IF($E$5:$E$14=$E40,BS$5:BS$14))</f>
        <v>#DIV/0!</v>
      </c>
      <c r="BT41" s="74" t="e">
        <f t="array" ref="BT41">_xlfn.STDEV.P(IF($E$5:$E$14=$E40,BT$5:BT$14))</f>
        <v>#DIV/0!</v>
      </c>
      <c r="BU41" s="74" t="e">
        <f t="array" ref="BU41">_xlfn.STDEV.P(IF($E$5:$E$14=$E40,BU$5:BU$14))</f>
        <v>#DIV/0!</v>
      </c>
      <c r="BV41" s="74" t="e">
        <f t="array" ref="BV41">_xlfn.STDEV.P(IF($E$5:$E$14=$E40,BV$5:BV$14))</f>
        <v>#DIV/0!</v>
      </c>
      <c r="BW41" s="74" t="e">
        <f t="array" ref="BW41">_xlfn.STDEV.P(IF($E$5:$E$14=$E40,BW$5:BW$14))</f>
        <v>#DIV/0!</v>
      </c>
      <c r="BX41" s="74" t="e">
        <f t="array" ref="BX41">_xlfn.STDEV.P(IF($E$5:$E$14=$E40,BX$5:BX$14))</f>
        <v>#DIV/0!</v>
      </c>
      <c r="BY41" s="74" t="e">
        <f t="array" ref="BY41">_xlfn.STDEV.P(IF($E$5:$E$14=$E40,BY$5:BY$14))</f>
        <v>#DIV/0!</v>
      </c>
      <c r="BZ41" s="74" t="e">
        <f t="array" ref="BZ41">_xlfn.STDEV.P(IF($E$5:$E$14=$E40,BZ$5:BZ$14))</f>
        <v>#DIV/0!</v>
      </c>
      <c r="CA41" s="74" t="e">
        <f t="array" ref="CA41">_xlfn.STDEV.P(IF($E$5:$E$14=$E40,CA$5:CA$14))</f>
        <v>#DIV/0!</v>
      </c>
      <c r="CB41" s="74" t="e">
        <f t="array" ref="CB41">_xlfn.STDEV.P(IF($E$5:$E$14=$E40,CB$5:CB$14))</f>
        <v>#DIV/0!</v>
      </c>
      <c r="CC41" s="74" t="e">
        <f t="array" ref="CC41">_xlfn.STDEV.P(IF($E$5:$E$14=$E40,CC$5:CC$14))</f>
        <v>#DIV/0!</v>
      </c>
      <c r="CD41" s="74" t="e">
        <f t="array" ref="CD41">_xlfn.STDEV.P(IF($E$5:$E$14=$E40,CD$5:CD$14))</f>
        <v>#DIV/0!</v>
      </c>
      <c r="CE41" s="74" t="e">
        <f t="array" ref="CE41">_xlfn.STDEV.P(IF($E$5:$E$14=$E40,CE$5:CE$14))</f>
        <v>#DIV/0!</v>
      </c>
      <c r="CF41" s="74" t="e">
        <f t="array" ref="CF41">_xlfn.STDEV.P(IF($E$5:$E$14=$E40,CF$5:CF$14))</f>
        <v>#DIV/0!</v>
      </c>
      <c r="CG41" s="74" t="e">
        <f t="array" ref="CG41">_xlfn.STDEV.P(IF($E$5:$E$14=$E40,CG$5:CG$14))</f>
        <v>#DIV/0!</v>
      </c>
      <c r="CH41" s="74" t="e">
        <f t="array" ref="CH41">_xlfn.STDEV.P(IF($E$5:$E$14=$E40,CH$5:CH$14))</f>
        <v>#DIV/0!</v>
      </c>
      <c r="CI41" s="74" t="e">
        <f t="array" ref="CI41">_xlfn.STDEV.P(IF($E$5:$E$14=$E40,CI$5:CI$14))</f>
        <v>#DIV/0!</v>
      </c>
      <c r="CJ41" s="74" t="e">
        <f t="array" ref="CJ41">_xlfn.STDEV.P(IF($E$5:$E$14=$E40,CJ$5:CJ$14))</f>
        <v>#DIV/0!</v>
      </c>
      <c r="CK41" s="74" t="e">
        <f t="array" ref="CK41">_xlfn.STDEV.P(IF($E$5:$E$14=$E40,CK$5:CK$14))</f>
        <v>#DIV/0!</v>
      </c>
      <c r="CL41" s="74" t="e">
        <f t="array" ref="CL41">_xlfn.STDEV.P(IF($E$5:$E$14=$E40,CL$5:CL$14))</f>
        <v>#DIV/0!</v>
      </c>
      <c r="CM41" s="74" t="e">
        <f t="array" ref="CM41">_xlfn.STDEV.P(IF($E$5:$E$14=$E40,CM$5:CM$14))</f>
        <v>#DIV/0!</v>
      </c>
      <c r="CN41" s="74" t="e">
        <f t="array" ref="CN41">_xlfn.STDEV.P(IF($E$5:$E$14=$E40,CN$5:CN$14))</f>
        <v>#DIV/0!</v>
      </c>
      <c r="CO41" s="74" t="e">
        <f t="array" ref="CO41">_xlfn.STDEV.P(IF($E$5:$E$14=$E40,CO$5:CO$14))</f>
        <v>#DIV/0!</v>
      </c>
      <c r="CP41" s="74" t="e">
        <f t="array" ref="CP41">_xlfn.STDEV.P(IF($E$5:$E$14=$E40,CP$5:CP$14))</f>
        <v>#DIV/0!</v>
      </c>
      <c r="CQ41" s="74" t="e">
        <f t="array" ref="CQ41">_xlfn.STDEV.P(IF($E$5:$E$14=$E40,CQ$5:CQ$14))</f>
        <v>#DIV/0!</v>
      </c>
      <c r="CR41" s="74" t="e">
        <f t="array" ref="CR41">_xlfn.STDEV.P(IF($E$5:$E$14=$E40,CR$5:CR$14))</f>
        <v>#DIV/0!</v>
      </c>
      <c r="CS41" s="74" t="e">
        <f t="array" ref="CS41">_xlfn.STDEV.P(IF($E$5:$E$14=$E40,CS$5:CS$14))</f>
        <v>#DIV/0!</v>
      </c>
      <c r="CT41" s="74" t="e">
        <f t="array" ref="CT41">_xlfn.STDEV.P(IF($E$5:$E$14=$E40,CT$5:CT$14))</f>
        <v>#DIV/0!</v>
      </c>
      <c r="CU41" s="74" t="e">
        <f t="array" ref="CU41">_xlfn.STDEV.P(IF($E$5:$E$14=$E40,CU$5:CU$14))</f>
        <v>#DIV/0!</v>
      </c>
      <c r="CV41" s="74" t="e">
        <f t="array" ref="CV41">_xlfn.STDEV.P(IF($E$5:$E$14=$E40,CV$5:CV$14))</f>
        <v>#DIV/0!</v>
      </c>
      <c r="CW41" s="74" t="e">
        <f t="array" ref="CW41">_xlfn.STDEV.P(IF($E$5:$E$14=$E40,CW$5:CW$14))</f>
        <v>#DIV/0!</v>
      </c>
      <c r="CX41" s="74" t="e">
        <f t="array" ref="CX41">_xlfn.STDEV.P(IF($E$5:$E$14=$E40,CX$5:CX$14))</f>
        <v>#DIV/0!</v>
      </c>
      <c r="CY41" s="76"/>
    </row>
    <row r="42" spans="1:103" ht="15">
      <c r="A42" s="113"/>
      <c r="E42" s="118"/>
      <c r="I42" s="52"/>
    </row>
    <row r="43" spans="1:103" ht="14.25" customHeight="1">
      <c r="A43" s="113"/>
      <c r="E43" s="118" t="str">
        <f>'AsPc1 REPEAT Groups'!C14</f>
        <v>Group 9</v>
      </c>
      <c r="I43" s="118" t="str">
        <f>E43</f>
        <v>Group 9</v>
      </c>
      <c r="J43" s="318" t="e">
        <f>AVERAGEIF($E$5:$E$14,$E43,J$5:J$14)</f>
        <v>#DIV/0!</v>
      </c>
      <c r="K43" s="72" t="s">
        <v>9</v>
      </c>
      <c r="L43" s="78" t="e">
        <f t="shared" ref="L43:BD43" si="26">AVERAGEIF($E$5:$E$14,$E43,L$5:L$14)</f>
        <v>#DIV/0!</v>
      </c>
      <c r="M43" s="78" t="e">
        <f t="shared" si="26"/>
        <v>#DIV/0!</v>
      </c>
      <c r="N43" s="78" t="e">
        <f t="shared" si="26"/>
        <v>#DIV/0!</v>
      </c>
      <c r="O43" s="78" t="e">
        <f t="shared" si="26"/>
        <v>#DIV/0!</v>
      </c>
      <c r="P43" s="78" t="e">
        <f t="shared" si="26"/>
        <v>#DIV/0!</v>
      </c>
      <c r="Q43" s="78" t="e">
        <f t="shared" si="26"/>
        <v>#DIV/0!</v>
      </c>
      <c r="R43" s="78" t="e">
        <f t="shared" si="26"/>
        <v>#DIV/0!</v>
      </c>
      <c r="S43" s="78" t="e">
        <f t="shared" si="26"/>
        <v>#DIV/0!</v>
      </c>
      <c r="T43" s="78" t="e">
        <f t="shared" si="26"/>
        <v>#DIV/0!</v>
      </c>
      <c r="U43" s="78" t="e">
        <f t="shared" si="26"/>
        <v>#DIV/0!</v>
      </c>
      <c r="V43" s="78" t="e">
        <f t="shared" si="26"/>
        <v>#DIV/0!</v>
      </c>
      <c r="W43" s="78" t="e">
        <f t="shared" si="26"/>
        <v>#DIV/0!</v>
      </c>
      <c r="X43" s="78" t="e">
        <f t="shared" si="26"/>
        <v>#DIV/0!</v>
      </c>
      <c r="Y43" s="78" t="e">
        <f t="shared" si="26"/>
        <v>#DIV/0!</v>
      </c>
      <c r="Z43" s="78" t="e">
        <f t="shared" si="26"/>
        <v>#DIV/0!</v>
      </c>
      <c r="AA43" s="78" t="e">
        <f t="shared" si="26"/>
        <v>#DIV/0!</v>
      </c>
      <c r="AB43" s="78" t="e">
        <f t="shared" si="26"/>
        <v>#DIV/0!</v>
      </c>
      <c r="AC43" s="78" t="e">
        <f t="shared" si="26"/>
        <v>#DIV/0!</v>
      </c>
      <c r="AD43" s="78" t="e">
        <f t="shared" si="26"/>
        <v>#DIV/0!</v>
      </c>
      <c r="AE43" s="78" t="e">
        <f t="shared" si="26"/>
        <v>#DIV/0!</v>
      </c>
      <c r="AF43" s="78" t="e">
        <f t="shared" si="26"/>
        <v>#DIV/0!</v>
      </c>
      <c r="AG43" s="78" t="e">
        <f t="shared" si="26"/>
        <v>#DIV/0!</v>
      </c>
      <c r="AH43" s="78" t="e">
        <f t="shared" si="26"/>
        <v>#DIV/0!</v>
      </c>
      <c r="AI43" s="78" t="e">
        <f t="shared" si="26"/>
        <v>#DIV/0!</v>
      </c>
      <c r="AJ43" s="78" t="e">
        <f t="shared" si="26"/>
        <v>#DIV/0!</v>
      </c>
      <c r="AK43" s="78" t="e">
        <f t="shared" si="26"/>
        <v>#DIV/0!</v>
      </c>
      <c r="AL43" s="78" t="e">
        <f t="shared" si="26"/>
        <v>#DIV/0!</v>
      </c>
      <c r="AM43" s="78" t="e">
        <f t="shared" si="26"/>
        <v>#DIV/0!</v>
      </c>
      <c r="AN43" s="78" t="e">
        <f t="shared" si="26"/>
        <v>#DIV/0!</v>
      </c>
      <c r="AO43" s="78" t="e">
        <f t="shared" si="26"/>
        <v>#DIV/0!</v>
      </c>
      <c r="AP43" s="78" t="e">
        <f t="shared" si="26"/>
        <v>#DIV/0!</v>
      </c>
      <c r="AQ43" s="78" t="e">
        <f t="shared" si="26"/>
        <v>#DIV/0!</v>
      </c>
      <c r="AR43" s="78" t="e">
        <f t="shared" si="26"/>
        <v>#DIV/0!</v>
      </c>
      <c r="AS43" s="78" t="e">
        <f t="shared" si="26"/>
        <v>#DIV/0!</v>
      </c>
      <c r="AT43" s="78" t="e">
        <f t="shared" si="26"/>
        <v>#DIV/0!</v>
      </c>
      <c r="AU43" s="78" t="e">
        <f t="shared" si="26"/>
        <v>#DIV/0!</v>
      </c>
      <c r="AV43" s="78" t="e">
        <f t="shared" si="26"/>
        <v>#DIV/0!</v>
      </c>
      <c r="AW43" s="78" t="e">
        <f t="shared" si="26"/>
        <v>#DIV/0!</v>
      </c>
      <c r="AX43" s="78" t="e">
        <f t="shared" si="26"/>
        <v>#DIV/0!</v>
      </c>
      <c r="AY43" s="78" t="e">
        <f t="shared" si="26"/>
        <v>#DIV/0!</v>
      </c>
      <c r="AZ43" s="78" t="e">
        <f t="shared" si="26"/>
        <v>#DIV/0!</v>
      </c>
      <c r="BA43" s="78" t="e">
        <f t="shared" si="26"/>
        <v>#DIV/0!</v>
      </c>
      <c r="BB43" s="78" t="e">
        <f t="shared" si="26"/>
        <v>#DIV/0!</v>
      </c>
      <c r="BC43" s="78" t="e">
        <f t="shared" si="26"/>
        <v>#DIV/0!</v>
      </c>
      <c r="BD43" s="78" t="e">
        <f t="shared" si="26"/>
        <v>#DIV/0!</v>
      </c>
      <c r="BE43" s="103" t="s">
        <v>9</v>
      </c>
      <c r="BF43" s="73" t="e">
        <f t="shared" ref="BF43:CX43" si="27">AVERAGEIF($E$5:$E$14,$E43,BF$5:BF$14)</f>
        <v>#DIV/0!</v>
      </c>
      <c r="BG43" s="73" t="e">
        <f t="shared" si="27"/>
        <v>#DIV/0!</v>
      </c>
      <c r="BH43" s="73" t="e">
        <f t="shared" si="27"/>
        <v>#DIV/0!</v>
      </c>
      <c r="BI43" s="73" t="e">
        <f t="shared" si="27"/>
        <v>#DIV/0!</v>
      </c>
      <c r="BJ43" s="73" t="e">
        <f t="shared" si="27"/>
        <v>#DIV/0!</v>
      </c>
      <c r="BK43" s="73" t="e">
        <f t="shared" si="27"/>
        <v>#DIV/0!</v>
      </c>
      <c r="BL43" s="73" t="e">
        <f t="shared" si="27"/>
        <v>#DIV/0!</v>
      </c>
      <c r="BM43" s="73" t="e">
        <f t="shared" si="27"/>
        <v>#DIV/0!</v>
      </c>
      <c r="BN43" s="73" t="e">
        <f t="shared" si="27"/>
        <v>#DIV/0!</v>
      </c>
      <c r="BO43" s="73" t="e">
        <f t="shared" si="27"/>
        <v>#DIV/0!</v>
      </c>
      <c r="BP43" s="73" t="e">
        <f t="shared" si="27"/>
        <v>#DIV/0!</v>
      </c>
      <c r="BQ43" s="73" t="e">
        <f t="shared" si="27"/>
        <v>#DIV/0!</v>
      </c>
      <c r="BR43" s="73" t="e">
        <f t="shared" si="27"/>
        <v>#DIV/0!</v>
      </c>
      <c r="BS43" s="73" t="e">
        <f t="shared" si="27"/>
        <v>#DIV/0!</v>
      </c>
      <c r="BT43" s="73" t="e">
        <f t="shared" si="27"/>
        <v>#DIV/0!</v>
      </c>
      <c r="BU43" s="73" t="e">
        <f t="shared" si="27"/>
        <v>#DIV/0!</v>
      </c>
      <c r="BV43" s="73" t="e">
        <f t="shared" si="27"/>
        <v>#DIV/0!</v>
      </c>
      <c r="BW43" s="73" t="e">
        <f t="shared" si="27"/>
        <v>#DIV/0!</v>
      </c>
      <c r="BX43" s="73" t="e">
        <f t="shared" si="27"/>
        <v>#DIV/0!</v>
      </c>
      <c r="BY43" s="73" t="e">
        <f t="shared" si="27"/>
        <v>#DIV/0!</v>
      </c>
      <c r="BZ43" s="73" t="e">
        <f t="shared" si="27"/>
        <v>#DIV/0!</v>
      </c>
      <c r="CA43" s="73" t="e">
        <f t="shared" si="27"/>
        <v>#DIV/0!</v>
      </c>
      <c r="CB43" s="73" t="e">
        <f t="shared" si="27"/>
        <v>#DIV/0!</v>
      </c>
      <c r="CC43" s="73" t="e">
        <f t="shared" si="27"/>
        <v>#DIV/0!</v>
      </c>
      <c r="CD43" s="73" t="e">
        <f t="shared" si="27"/>
        <v>#DIV/0!</v>
      </c>
      <c r="CE43" s="73" t="e">
        <f t="shared" si="27"/>
        <v>#DIV/0!</v>
      </c>
      <c r="CF43" s="73" t="e">
        <f t="shared" si="27"/>
        <v>#DIV/0!</v>
      </c>
      <c r="CG43" s="73" t="e">
        <f t="shared" si="27"/>
        <v>#DIV/0!</v>
      </c>
      <c r="CH43" s="73" t="e">
        <f t="shared" si="27"/>
        <v>#DIV/0!</v>
      </c>
      <c r="CI43" s="73" t="e">
        <f t="shared" si="27"/>
        <v>#DIV/0!</v>
      </c>
      <c r="CJ43" s="73" t="e">
        <f t="shared" si="27"/>
        <v>#DIV/0!</v>
      </c>
      <c r="CK43" s="73" t="e">
        <f t="shared" si="27"/>
        <v>#DIV/0!</v>
      </c>
      <c r="CL43" s="73" t="e">
        <f t="shared" si="27"/>
        <v>#DIV/0!</v>
      </c>
      <c r="CM43" s="73" t="e">
        <f t="shared" si="27"/>
        <v>#DIV/0!</v>
      </c>
      <c r="CN43" s="73" t="e">
        <f t="shared" si="27"/>
        <v>#DIV/0!</v>
      </c>
      <c r="CO43" s="73" t="e">
        <f t="shared" si="27"/>
        <v>#DIV/0!</v>
      </c>
      <c r="CP43" s="73" t="e">
        <f t="shared" si="27"/>
        <v>#DIV/0!</v>
      </c>
      <c r="CQ43" s="73" t="e">
        <f t="shared" si="27"/>
        <v>#DIV/0!</v>
      </c>
      <c r="CR43" s="73" t="e">
        <f t="shared" si="27"/>
        <v>#DIV/0!</v>
      </c>
      <c r="CS43" s="73" t="e">
        <f t="shared" si="27"/>
        <v>#DIV/0!</v>
      </c>
      <c r="CT43" s="73" t="e">
        <f t="shared" si="27"/>
        <v>#DIV/0!</v>
      </c>
      <c r="CU43" s="73" t="e">
        <f t="shared" si="27"/>
        <v>#DIV/0!</v>
      </c>
      <c r="CV43" s="73" t="e">
        <f t="shared" si="27"/>
        <v>#DIV/0!</v>
      </c>
      <c r="CW43" s="73" t="e">
        <f t="shared" si="27"/>
        <v>#DIV/0!</v>
      </c>
      <c r="CX43" s="73" t="e">
        <f t="shared" si="27"/>
        <v>#DIV/0!</v>
      </c>
      <c r="CY43" s="76"/>
    </row>
    <row r="44" spans="1:103" ht="14.25" customHeight="1">
      <c r="A44" s="113"/>
      <c r="E44" s="93"/>
      <c r="I44" s="93"/>
      <c r="J44" s="318" t="e">
        <f t="array" ref="J44">_xlfn.STDEV.P(IF($E$5:$E$14=$E43,J$5:J$14))</f>
        <v>#DIV/0!</v>
      </c>
      <c r="K44" s="72" t="s">
        <v>11</v>
      </c>
      <c r="L44" s="81" t="e">
        <f t="array" ref="L44">_xlfn.STDEV.P(IF($E$5:$E$14=$E43,L$5:L$14))</f>
        <v>#DIV/0!</v>
      </c>
      <c r="M44" s="81" t="e">
        <f t="array" ref="M44">_xlfn.STDEV.P(IF($E$5:$E$14=$E43,M$5:M$14))</f>
        <v>#DIV/0!</v>
      </c>
      <c r="N44" s="81" t="e">
        <f t="array" ref="N44">_xlfn.STDEV.P(IF($E$5:$E$14=$E43,N$5:N$14))</f>
        <v>#DIV/0!</v>
      </c>
      <c r="O44" s="81" t="e">
        <f t="array" ref="O44">_xlfn.STDEV.P(IF($E$5:$E$14=$E43,O$5:O$14))</f>
        <v>#DIV/0!</v>
      </c>
      <c r="P44" s="81" t="e">
        <f t="array" ref="P44">_xlfn.STDEV.P(IF($E$5:$E$14=$E43,P$5:P$14))</f>
        <v>#DIV/0!</v>
      </c>
      <c r="Q44" s="81" t="e">
        <f t="array" ref="Q44">_xlfn.STDEV.P(IF($E$5:$E$14=$E43,Q$5:Q$14))</f>
        <v>#DIV/0!</v>
      </c>
      <c r="R44" s="81" t="e">
        <f t="array" ref="R44">_xlfn.STDEV.P(IF($E$5:$E$14=$E43,R$5:R$14))</f>
        <v>#DIV/0!</v>
      </c>
      <c r="S44" s="81" t="e">
        <f t="array" ref="S44">_xlfn.STDEV.P(IF($E$5:$E$14=$E43,S$5:S$14))</f>
        <v>#DIV/0!</v>
      </c>
      <c r="T44" s="81" t="e">
        <f t="array" ref="T44">_xlfn.STDEV.P(IF($E$5:$E$14=$E43,T$5:T$14))</f>
        <v>#DIV/0!</v>
      </c>
      <c r="U44" s="81" t="e">
        <f t="array" ref="U44">_xlfn.STDEV.P(IF($E$5:$E$14=$E43,U$5:U$14))</f>
        <v>#DIV/0!</v>
      </c>
      <c r="V44" s="81" t="e">
        <f t="array" ref="V44">_xlfn.STDEV.P(IF($E$5:$E$14=$E43,V$5:V$14))</f>
        <v>#DIV/0!</v>
      </c>
      <c r="W44" s="81" t="e">
        <f t="array" ref="W44">_xlfn.STDEV.P(IF($E$5:$E$14=$E43,W$5:W$14))</f>
        <v>#DIV/0!</v>
      </c>
      <c r="X44" s="81" t="e">
        <f t="array" ref="X44">_xlfn.STDEV.P(IF($E$5:$E$14=$E43,X$5:X$14))</f>
        <v>#DIV/0!</v>
      </c>
      <c r="Y44" s="81" t="e">
        <f t="array" ref="Y44">_xlfn.STDEV.P(IF($E$5:$E$14=$E43,Y$5:Y$14))</f>
        <v>#DIV/0!</v>
      </c>
      <c r="Z44" s="81" t="e">
        <f t="array" ref="Z44">_xlfn.STDEV.P(IF($E$5:$E$14=$E43,Z$5:Z$14))</f>
        <v>#DIV/0!</v>
      </c>
      <c r="AA44" s="81" t="e">
        <f t="array" ref="AA44">_xlfn.STDEV.P(IF($E$5:$E$14=$E43,AA$5:AA$14))</f>
        <v>#DIV/0!</v>
      </c>
      <c r="AB44" s="81" t="e">
        <f t="array" ref="AB44">_xlfn.STDEV.P(IF($E$5:$E$14=$E43,AB$5:AB$14))</f>
        <v>#DIV/0!</v>
      </c>
      <c r="AC44" s="81" t="e">
        <f t="array" ref="AC44">_xlfn.STDEV.P(IF($E$5:$E$14=$E43,AC$5:AC$14))</f>
        <v>#DIV/0!</v>
      </c>
      <c r="AD44" s="81" t="e">
        <f t="array" ref="AD44">_xlfn.STDEV.P(IF($E$5:$E$14=$E43,AD$5:AD$14))</f>
        <v>#DIV/0!</v>
      </c>
      <c r="AE44" s="81" t="e">
        <f t="array" ref="AE44">_xlfn.STDEV.P(IF($E$5:$E$14=$E43,AE$5:AE$14))</f>
        <v>#DIV/0!</v>
      </c>
      <c r="AF44" s="81" t="e">
        <f t="array" ref="AF44">_xlfn.STDEV.P(IF($E$5:$E$14=$E43,AF$5:AF$14))</f>
        <v>#DIV/0!</v>
      </c>
      <c r="AG44" s="81" t="e">
        <f t="array" ref="AG44">_xlfn.STDEV.P(IF($E$5:$E$14=$E43,AG$5:AG$14))</f>
        <v>#DIV/0!</v>
      </c>
      <c r="AH44" s="81" t="e">
        <f t="array" ref="AH44">_xlfn.STDEV.P(IF($E$5:$E$14=$E43,AH$5:AH$14))</f>
        <v>#DIV/0!</v>
      </c>
      <c r="AI44" s="81" t="e">
        <f t="array" ref="AI44">_xlfn.STDEV.P(IF($E$5:$E$14=$E43,AI$5:AI$14))</f>
        <v>#DIV/0!</v>
      </c>
      <c r="AJ44" s="81" t="e">
        <f t="array" ref="AJ44">_xlfn.STDEV.P(IF($E$5:$E$14=$E43,AJ$5:AJ$14))</f>
        <v>#DIV/0!</v>
      </c>
      <c r="AK44" s="81" t="e">
        <f t="array" ref="AK44">_xlfn.STDEV.P(IF($E$5:$E$14=$E43,AK$5:AK$14))</f>
        <v>#DIV/0!</v>
      </c>
      <c r="AL44" s="81" t="e">
        <f t="array" ref="AL44">_xlfn.STDEV.P(IF($E$5:$E$14=$E43,AL$5:AL$14))</f>
        <v>#DIV/0!</v>
      </c>
      <c r="AM44" s="81" t="e">
        <f t="array" ref="AM44">_xlfn.STDEV.P(IF($E$5:$E$14=$E43,AM$5:AM$14))</f>
        <v>#DIV/0!</v>
      </c>
      <c r="AN44" s="81" t="e">
        <f t="array" ref="AN44">_xlfn.STDEV.P(IF($E$5:$E$14=$E43,AN$5:AN$14))</f>
        <v>#DIV/0!</v>
      </c>
      <c r="AO44" s="81" t="e">
        <f t="array" ref="AO44">_xlfn.STDEV.P(IF($E$5:$E$14=$E43,AO$5:AO$14))</f>
        <v>#DIV/0!</v>
      </c>
      <c r="AP44" s="81" t="e">
        <f t="array" ref="AP44">_xlfn.STDEV.P(IF($E$5:$E$14=$E43,AP$5:AP$14))</f>
        <v>#DIV/0!</v>
      </c>
      <c r="AQ44" s="81" t="e">
        <f t="array" ref="AQ44">_xlfn.STDEV.P(IF($E$5:$E$14=$E43,AQ$5:AQ$14))</f>
        <v>#DIV/0!</v>
      </c>
      <c r="AR44" s="81" t="e">
        <f t="array" ref="AR44">_xlfn.STDEV.P(IF($E$5:$E$14=$E43,AR$5:AR$14))</f>
        <v>#DIV/0!</v>
      </c>
      <c r="AS44" s="81" t="e">
        <f t="array" ref="AS44">_xlfn.STDEV.P(IF($E$5:$E$14=$E43,AS$5:AS$14))</f>
        <v>#DIV/0!</v>
      </c>
      <c r="AT44" s="81" t="e">
        <f t="array" ref="AT44">_xlfn.STDEV.P(IF($E$5:$E$14=$E43,AT$5:AT$14))</f>
        <v>#DIV/0!</v>
      </c>
      <c r="AU44" s="81" t="e">
        <f t="array" ref="AU44">_xlfn.STDEV.P(IF($E$5:$E$14=$E43,AU$5:AU$14))</f>
        <v>#DIV/0!</v>
      </c>
      <c r="AV44" s="81" t="e">
        <f t="array" ref="AV44">_xlfn.STDEV.P(IF($E$5:$E$14=$E43,AV$5:AV$14))</f>
        <v>#DIV/0!</v>
      </c>
      <c r="AW44" s="81" t="e">
        <f t="array" ref="AW44">_xlfn.STDEV.P(IF($E$5:$E$14=$E43,AW$5:AW$14))</f>
        <v>#DIV/0!</v>
      </c>
      <c r="AX44" s="81" t="e">
        <f t="array" ref="AX44">_xlfn.STDEV.P(IF($E$5:$E$14=$E43,AX$5:AX$14))</f>
        <v>#DIV/0!</v>
      </c>
      <c r="AY44" s="81" t="e">
        <f t="array" ref="AY44">_xlfn.STDEV.P(IF($E$5:$E$14=$E43,AY$5:AY$14))</f>
        <v>#DIV/0!</v>
      </c>
      <c r="AZ44" s="81" t="e">
        <f t="array" ref="AZ44">_xlfn.STDEV.P(IF($E$5:$E$14=$E43,AZ$5:AZ$14))</f>
        <v>#DIV/0!</v>
      </c>
      <c r="BA44" s="81" t="e">
        <f t="array" ref="BA44">_xlfn.STDEV.P(IF($E$5:$E$14=$E43,BA$5:BA$14))</f>
        <v>#DIV/0!</v>
      </c>
      <c r="BB44" s="81" t="e">
        <f t="array" ref="BB44">_xlfn.STDEV.P(IF($E$5:$E$14=$E43,BB$5:BB$14))</f>
        <v>#DIV/0!</v>
      </c>
      <c r="BC44" s="81" t="e">
        <f t="array" ref="BC44">_xlfn.STDEV.P(IF($E$5:$E$14=$E43,BC$5:BC$14))</f>
        <v>#DIV/0!</v>
      </c>
      <c r="BD44" s="81" t="e">
        <f t="array" ref="BD44">_xlfn.STDEV.P(IF($E$5:$E$14=$E43,BD$5:BD$14))</f>
        <v>#DIV/0!</v>
      </c>
      <c r="BE44" s="104" t="s">
        <v>11</v>
      </c>
      <c r="BF44" s="74" t="e">
        <f t="array" ref="BF44">_xlfn.STDEV.P(IF($E$5:$E$14=$E43,BF$5:BF$14))</f>
        <v>#DIV/0!</v>
      </c>
      <c r="BG44" s="74" t="e">
        <f t="array" ref="BG44">_xlfn.STDEV.P(IF($E$5:$E$14=$E43,BG$5:BG$14))</f>
        <v>#DIV/0!</v>
      </c>
      <c r="BH44" s="74" t="e">
        <f t="array" ref="BH44">_xlfn.STDEV.P(IF($E$5:$E$14=$E43,BH$5:BH$14))</f>
        <v>#DIV/0!</v>
      </c>
      <c r="BI44" s="74" t="e">
        <f t="array" ref="BI44">_xlfn.STDEV.P(IF($E$5:$E$14=$E43,BI$5:BI$14))</f>
        <v>#DIV/0!</v>
      </c>
      <c r="BJ44" s="74" t="e">
        <f t="array" ref="BJ44">_xlfn.STDEV.P(IF($E$5:$E$14=$E43,BJ$5:BJ$14))</f>
        <v>#DIV/0!</v>
      </c>
      <c r="BK44" s="74" t="e">
        <f t="array" ref="BK44">_xlfn.STDEV.P(IF($E$5:$E$14=$E43,BK$5:BK$14))</f>
        <v>#DIV/0!</v>
      </c>
      <c r="BL44" s="74" t="e">
        <f t="array" ref="BL44">_xlfn.STDEV.P(IF($E$5:$E$14=$E43,BL$5:BL$14))</f>
        <v>#DIV/0!</v>
      </c>
      <c r="BM44" s="74" t="e">
        <f t="array" ref="BM44">_xlfn.STDEV.P(IF($E$5:$E$14=$E43,BM$5:BM$14))</f>
        <v>#DIV/0!</v>
      </c>
      <c r="BN44" s="74" t="e">
        <f t="array" ref="BN44">_xlfn.STDEV.P(IF($E$5:$E$14=$E43,BN$5:BN$14))</f>
        <v>#DIV/0!</v>
      </c>
      <c r="BO44" s="74" t="e">
        <f t="array" ref="BO44">_xlfn.STDEV.P(IF($E$5:$E$14=$E43,BO$5:BO$14))</f>
        <v>#DIV/0!</v>
      </c>
      <c r="BP44" s="74" t="e">
        <f t="array" ref="BP44">_xlfn.STDEV.P(IF($E$5:$E$14=$E43,BP$5:BP$14))</f>
        <v>#DIV/0!</v>
      </c>
      <c r="BQ44" s="74" t="e">
        <f t="array" ref="BQ44">_xlfn.STDEV.P(IF($E$5:$E$14=$E43,BQ$5:BQ$14))</f>
        <v>#DIV/0!</v>
      </c>
      <c r="BR44" s="74" t="e">
        <f t="array" ref="BR44">_xlfn.STDEV.P(IF($E$5:$E$14=$E43,BR$5:BR$14))</f>
        <v>#DIV/0!</v>
      </c>
      <c r="BS44" s="74" t="e">
        <f t="array" ref="BS44">_xlfn.STDEV.P(IF($E$5:$E$14=$E43,BS$5:BS$14))</f>
        <v>#DIV/0!</v>
      </c>
      <c r="BT44" s="74" t="e">
        <f t="array" ref="BT44">_xlfn.STDEV.P(IF($E$5:$E$14=$E43,BT$5:BT$14))</f>
        <v>#DIV/0!</v>
      </c>
      <c r="BU44" s="74" t="e">
        <f t="array" ref="BU44">_xlfn.STDEV.P(IF($E$5:$E$14=$E43,BU$5:BU$14))</f>
        <v>#DIV/0!</v>
      </c>
      <c r="BV44" s="74" t="e">
        <f t="array" ref="BV44">_xlfn.STDEV.P(IF($E$5:$E$14=$E43,BV$5:BV$14))</f>
        <v>#DIV/0!</v>
      </c>
      <c r="BW44" s="74" t="e">
        <f t="array" ref="BW44">_xlfn.STDEV.P(IF($E$5:$E$14=$E43,BW$5:BW$14))</f>
        <v>#DIV/0!</v>
      </c>
      <c r="BX44" s="74" t="e">
        <f t="array" ref="BX44">_xlfn.STDEV.P(IF($E$5:$E$14=$E43,BX$5:BX$14))</f>
        <v>#DIV/0!</v>
      </c>
      <c r="BY44" s="74" t="e">
        <f t="array" ref="BY44">_xlfn.STDEV.P(IF($E$5:$E$14=$E43,BY$5:BY$14))</f>
        <v>#DIV/0!</v>
      </c>
      <c r="BZ44" s="74" t="e">
        <f t="array" ref="BZ44">_xlfn.STDEV.P(IF($E$5:$E$14=$E43,BZ$5:BZ$14))</f>
        <v>#DIV/0!</v>
      </c>
      <c r="CA44" s="74" t="e">
        <f t="array" ref="CA44">_xlfn.STDEV.P(IF($E$5:$E$14=$E43,CA$5:CA$14))</f>
        <v>#DIV/0!</v>
      </c>
      <c r="CB44" s="74" t="e">
        <f t="array" ref="CB44">_xlfn.STDEV.P(IF($E$5:$E$14=$E43,CB$5:CB$14))</f>
        <v>#DIV/0!</v>
      </c>
      <c r="CC44" s="74" t="e">
        <f t="array" ref="CC44">_xlfn.STDEV.P(IF($E$5:$E$14=$E43,CC$5:CC$14))</f>
        <v>#DIV/0!</v>
      </c>
      <c r="CD44" s="74" t="e">
        <f t="array" ref="CD44">_xlfn.STDEV.P(IF($E$5:$E$14=$E43,CD$5:CD$14))</f>
        <v>#DIV/0!</v>
      </c>
      <c r="CE44" s="74" t="e">
        <f t="array" ref="CE44">_xlfn.STDEV.P(IF($E$5:$E$14=$E43,CE$5:CE$14))</f>
        <v>#DIV/0!</v>
      </c>
      <c r="CF44" s="74" t="e">
        <f t="array" ref="CF44">_xlfn.STDEV.P(IF($E$5:$E$14=$E43,CF$5:CF$14))</f>
        <v>#DIV/0!</v>
      </c>
      <c r="CG44" s="74" t="e">
        <f t="array" ref="CG44">_xlfn.STDEV.P(IF($E$5:$E$14=$E43,CG$5:CG$14))</f>
        <v>#DIV/0!</v>
      </c>
      <c r="CH44" s="74" t="e">
        <f t="array" ref="CH44">_xlfn.STDEV.P(IF($E$5:$E$14=$E43,CH$5:CH$14))</f>
        <v>#DIV/0!</v>
      </c>
      <c r="CI44" s="74" t="e">
        <f t="array" ref="CI44">_xlfn.STDEV.P(IF($E$5:$E$14=$E43,CI$5:CI$14))</f>
        <v>#DIV/0!</v>
      </c>
      <c r="CJ44" s="74" t="e">
        <f t="array" ref="CJ44">_xlfn.STDEV.P(IF($E$5:$E$14=$E43,CJ$5:CJ$14))</f>
        <v>#DIV/0!</v>
      </c>
      <c r="CK44" s="74" t="e">
        <f t="array" ref="CK44">_xlfn.STDEV.P(IF($E$5:$E$14=$E43,CK$5:CK$14))</f>
        <v>#DIV/0!</v>
      </c>
      <c r="CL44" s="74" t="e">
        <f t="array" ref="CL44">_xlfn.STDEV.P(IF($E$5:$E$14=$E43,CL$5:CL$14))</f>
        <v>#DIV/0!</v>
      </c>
      <c r="CM44" s="74" t="e">
        <f t="array" ref="CM44">_xlfn.STDEV.P(IF($E$5:$E$14=$E43,CM$5:CM$14))</f>
        <v>#DIV/0!</v>
      </c>
      <c r="CN44" s="74" t="e">
        <f t="array" ref="CN44">_xlfn.STDEV.P(IF($E$5:$E$14=$E43,CN$5:CN$14))</f>
        <v>#DIV/0!</v>
      </c>
      <c r="CO44" s="74" t="e">
        <f t="array" ref="CO44">_xlfn.STDEV.P(IF($E$5:$E$14=$E43,CO$5:CO$14))</f>
        <v>#DIV/0!</v>
      </c>
      <c r="CP44" s="74" t="e">
        <f t="array" ref="CP44">_xlfn.STDEV.P(IF($E$5:$E$14=$E43,CP$5:CP$14))</f>
        <v>#DIV/0!</v>
      </c>
      <c r="CQ44" s="74" t="e">
        <f t="array" ref="CQ44">_xlfn.STDEV.P(IF($E$5:$E$14=$E43,CQ$5:CQ$14))</f>
        <v>#DIV/0!</v>
      </c>
      <c r="CR44" s="74" t="e">
        <f t="array" ref="CR44">_xlfn.STDEV.P(IF($E$5:$E$14=$E43,CR$5:CR$14))</f>
        <v>#DIV/0!</v>
      </c>
      <c r="CS44" s="74" t="e">
        <f t="array" ref="CS44">_xlfn.STDEV.P(IF($E$5:$E$14=$E43,CS$5:CS$14))</f>
        <v>#DIV/0!</v>
      </c>
      <c r="CT44" s="74" t="e">
        <f t="array" ref="CT44">_xlfn.STDEV.P(IF($E$5:$E$14=$E43,CT$5:CT$14))</f>
        <v>#DIV/0!</v>
      </c>
      <c r="CU44" s="74" t="e">
        <f t="array" ref="CU44">_xlfn.STDEV.P(IF($E$5:$E$14=$E43,CU$5:CU$14))</f>
        <v>#DIV/0!</v>
      </c>
      <c r="CV44" s="74" t="e">
        <f t="array" ref="CV44">_xlfn.STDEV.P(IF($E$5:$E$14=$E43,CV$5:CV$14))</f>
        <v>#DIV/0!</v>
      </c>
      <c r="CW44" s="74" t="e">
        <f t="array" ref="CW44">_xlfn.STDEV.P(IF($E$5:$E$14=$E43,CW$5:CW$14))</f>
        <v>#DIV/0!</v>
      </c>
      <c r="CX44" s="74" t="e">
        <f t="array" ref="CX44">_xlfn.STDEV.P(IF($E$5:$E$14=$E43,CX$5:CX$14))</f>
        <v>#DIV/0!</v>
      </c>
      <c r="CY44" s="76"/>
    </row>
  </sheetData>
  <autoFilter ref="A4:CX14" xr:uid="{00000000-0009-0000-0000-000001000000}">
    <sortState xmlns:xlrd2="http://schemas.microsoft.com/office/spreadsheetml/2017/richdata2" ref="A5:AW54">
      <sortCondition ref="B4:B54"/>
    </sortState>
  </autoFilter>
  <mergeCells count="4">
    <mergeCell ref="F2:H2"/>
    <mergeCell ref="I2:J2"/>
    <mergeCell ref="I16:I17"/>
    <mergeCell ref="A1:F1"/>
  </mergeCells>
  <conditionalFormatting sqref="BF5:CX14">
    <cfRule type="cellIs" dxfId="1" priority="1" operator="between">
      <formula>0.85</formula>
      <formula>0.88</formula>
    </cfRule>
    <cfRule type="cellIs" dxfId="0" priority="2" operator="lessThan">
      <formula>0.85</formula>
    </cfRule>
  </conditionalFormatting>
  <dataValidations count="1">
    <dataValidation type="list" allowBlank="1" showInputMessage="1" showErrorMessage="1" sqref="E19:E1048576 E5:E14" xr:uid="{16D26194-49B6-449F-AC79-276B4C3007BC}">
      <formula1>Groups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838CD1-6C79-42A7-98F5-D72A62856224}">
          <x14:formula1>
            <xm:f>'AsPc1 REPEAT Groups'!$C$6:$C$14</xm:f>
          </x14:formula1>
          <xm:sqref>I19:I44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C3161-894E-434B-BDC7-B0AF55672496}">
  <dimension ref="A1:BC42"/>
  <sheetViews>
    <sheetView showGridLines="0" workbookViewId="0">
      <pane xSplit="5" ySplit="4" topLeftCell="F5" activePane="bottomRight" state="frozen"/>
      <selection activeCell="G21" sqref="G21"/>
      <selection pane="topRight" activeCell="G21" sqref="G21"/>
      <selection pane="bottomLeft" activeCell="G21" sqref="G21"/>
      <selection pane="bottomRight" sqref="A1:F1"/>
    </sheetView>
  </sheetViews>
  <sheetFormatPr defaultRowHeight="12.75" outlineLevelCol="1"/>
  <cols>
    <col min="1" max="1" width="9.85546875" style="54" bestFit="1" customWidth="1"/>
    <col min="2" max="2" width="9.140625" style="44"/>
    <col min="3" max="3" width="17.28515625" style="55" hidden="1" customWidth="1" outlineLevel="1"/>
    <col min="4" max="4" width="19" style="44" hidden="1" customWidth="1" outlineLevel="1"/>
    <col min="5" max="5" width="25.7109375" style="53" customWidth="1" collapsed="1"/>
    <col min="6" max="6" width="10.28515625" style="56" customWidth="1"/>
    <col min="7" max="7" width="10.7109375" style="214" customWidth="1"/>
    <col min="8" max="8" width="8.7109375" style="79" hidden="1" customWidth="1" outlineLevel="1"/>
    <col min="9" max="9" width="14.85546875" style="56" customWidth="1" collapsed="1"/>
    <col min="10" max="10" width="10.42578125" style="57" hidden="1" customWidth="1" outlineLevel="1"/>
    <col min="11" max="11" width="10.42578125" style="44" customWidth="1" collapsed="1"/>
    <col min="12" max="13" width="8.5703125" style="44" customWidth="1"/>
    <col min="14" max="32" width="8.5703125" style="44" customWidth="1" outlineLevel="1"/>
    <col min="33" max="33" width="14.140625" style="44" customWidth="1"/>
    <col min="34" max="35" width="8.5703125" style="44" customWidth="1"/>
    <col min="36" max="54" width="8.5703125" style="44" customWidth="1" outlineLevel="1"/>
    <col min="55" max="16384" width="9.140625" style="53"/>
  </cols>
  <sheetData>
    <row r="1" spans="1:55" s="7" customFormat="1" ht="27">
      <c r="A1" s="326" t="s">
        <v>82</v>
      </c>
      <c r="B1" s="326"/>
      <c r="C1" s="326"/>
      <c r="D1" s="326"/>
      <c r="E1" s="326"/>
      <c r="F1" s="326"/>
      <c r="G1" s="208"/>
      <c r="H1" s="215"/>
      <c r="I1" s="10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5" s="50" customFormat="1" ht="15.75" customHeight="1">
      <c r="A2" s="319" t="s">
        <v>31</v>
      </c>
      <c r="B2" s="266"/>
      <c r="C2" s="267"/>
      <c r="D2" s="266"/>
      <c r="E2" s="16"/>
      <c r="F2" s="250" t="s">
        <v>12</v>
      </c>
      <c r="G2" s="269"/>
      <c r="H2" s="269"/>
      <c r="I2" s="250" t="s">
        <v>0</v>
      </c>
      <c r="J2" s="269"/>
      <c r="K2" s="17"/>
      <c r="L2" s="319" t="s">
        <v>33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70"/>
      <c r="AG2" s="271"/>
      <c r="AH2" s="319" t="s">
        <v>54</v>
      </c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70"/>
      <c r="BC2" s="49"/>
    </row>
    <row r="3" spans="1:55" s="64" customFormat="1" ht="15.75">
      <c r="A3" s="310"/>
      <c r="B3" s="311"/>
      <c r="C3" s="312"/>
      <c r="D3" s="311"/>
      <c r="E3" s="62"/>
      <c r="F3" s="247"/>
      <c r="G3" s="320"/>
      <c r="H3" s="320"/>
      <c r="I3" s="228"/>
      <c r="J3" s="278"/>
      <c r="K3" s="190" t="s">
        <v>13</v>
      </c>
      <c r="L3" s="280">
        <v>43012</v>
      </c>
      <c r="M3" s="280">
        <v>43013</v>
      </c>
      <c r="N3" s="280">
        <v>43014</v>
      </c>
      <c r="O3" s="280">
        <v>43017</v>
      </c>
      <c r="P3" s="280">
        <v>43019</v>
      </c>
      <c r="Q3" s="280">
        <v>43021</v>
      </c>
      <c r="R3" s="280">
        <v>43024</v>
      </c>
      <c r="S3" s="280">
        <v>43026</v>
      </c>
      <c r="T3" s="280">
        <v>43028</v>
      </c>
      <c r="U3" s="280">
        <v>43031</v>
      </c>
      <c r="V3" s="280">
        <v>43033</v>
      </c>
      <c r="W3" s="280">
        <v>43035</v>
      </c>
      <c r="X3" s="280">
        <v>43037</v>
      </c>
      <c r="Y3" s="280">
        <v>43039</v>
      </c>
      <c r="Z3" s="280">
        <v>43041</v>
      </c>
      <c r="AA3" s="280">
        <v>43044</v>
      </c>
      <c r="AB3" s="280">
        <v>43047</v>
      </c>
      <c r="AC3" s="280"/>
      <c r="AD3" s="280"/>
      <c r="AE3" s="280"/>
      <c r="AF3" s="280"/>
      <c r="AG3" s="190" t="s">
        <v>58</v>
      </c>
      <c r="AH3" s="280">
        <f>IF(ISBLANK(L3)=TRUE,"",L3)</f>
        <v>43012</v>
      </c>
      <c r="AI3" s="280">
        <f t="shared" ref="AI3:AX4" si="0">IF(ISBLANK(M3)=TRUE,"",M3)</f>
        <v>43013</v>
      </c>
      <c r="AJ3" s="280">
        <f t="shared" si="0"/>
        <v>43014</v>
      </c>
      <c r="AK3" s="280">
        <f t="shared" si="0"/>
        <v>43017</v>
      </c>
      <c r="AL3" s="280">
        <f t="shared" si="0"/>
        <v>43019</v>
      </c>
      <c r="AM3" s="280">
        <f t="shared" si="0"/>
        <v>43021</v>
      </c>
      <c r="AN3" s="280">
        <f t="shared" si="0"/>
        <v>43024</v>
      </c>
      <c r="AO3" s="280">
        <f t="shared" si="0"/>
        <v>43026</v>
      </c>
      <c r="AP3" s="280">
        <f t="shared" si="0"/>
        <v>43028</v>
      </c>
      <c r="AQ3" s="280">
        <f t="shared" si="0"/>
        <v>43031</v>
      </c>
      <c r="AR3" s="280">
        <f t="shared" si="0"/>
        <v>43033</v>
      </c>
      <c r="AS3" s="280">
        <f t="shared" si="0"/>
        <v>43035</v>
      </c>
      <c r="AT3" s="280">
        <f t="shared" si="0"/>
        <v>43037</v>
      </c>
      <c r="AU3" s="280">
        <f t="shared" si="0"/>
        <v>43039</v>
      </c>
      <c r="AV3" s="280">
        <f t="shared" si="0"/>
        <v>43041</v>
      </c>
      <c r="AW3" s="280">
        <f t="shared" si="0"/>
        <v>43044</v>
      </c>
      <c r="AX3" s="280">
        <f t="shared" si="0"/>
        <v>43047</v>
      </c>
      <c r="AY3" s="280" t="str">
        <f t="shared" ref="AY3:BB4" si="1">IF(ISBLANK(AC3)=TRUE,"",AC3)</f>
        <v/>
      </c>
      <c r="AZ3" s="280" t="str">
        <f t="shared" si="1"/>
        <v/>
      </c>
      <c r="BA3" s="280" t="str">
        <f t="shared" si="1"/>
        <v/>
      </c>
      <c r="BB3" s="280" t="str">
        <f t="shared" si="1"/>
        <v/>
      </c>
      <c r="BC3" s="63"/>
    </row>
    <row r="4" spans="1:55" s="52" customFormat="1" ht="15.75" customHeight="1">
      <c r="A4" s="314" t="s">
        <v>5</v>
      </c>
      <c r="B4" s="176" t="s">
        <v>6</v>
      </c>
      <c r="C4" s="283" t="s">
        <v>7</v>
      </c>
      <c r="D4" s="314" t="s">
        <v>14</v>
      </c>
      <c r="E4" s="21" t="s">
        <v>10</v>
      </c>
      <c r="F4" s="22" t="s">
        <v>1</v>
      </c>
      <c r="G4" s="315" t="s">
        <v>69</v>
      </c>
      <c r="H4" s="316" t="s">
        <v>2</v>
      </c>
      <c r="I4" s="22" t="s">
        <v>1</v>
      </c>
      <c r="J4" s="321" t="s">
        <v>32</v>
      </c>
      <c r="K4" s="202" t="s">
        <v>8</v>
      </c>
      <c r="L4" s="288">
        <f t="shared" ref="L4:AF4" si="2">IF(ISBLANK(L3)=TRUE,"",L3-$I$5)</f>
        <v>0</v>
      </c>
      <c r="M4" s="288">
        <f t="shared" si="2"/>
        <v>1</v>
      </c>
      <c r="N4" s="288">
        <f t="shared" si="2"/>
        <v>2</v>
      </c>
      <c r="O4" s="288">
        <f t="shared" si="2"/>
        <v>5</v>
      </c>
      <c r="P4" s="288">
        <f t="shared" si="2"/>
        <v>7</v>
      </c>
      <c r="Q4" s="288">
        <f t="shared" si="2"/>
        <v>9</v>
      </c>
      <c r="R4" s="288">
        <f t="shared" si="2"/>
        <v>12</v>
      </c>
      <c r="S4" s="288">
        <f t="shared" si="2"/>
        <v>14</v>
      </c>
      <c r="T4" s="288">
        <f t="shared" si="2"/>
        <v>16</v>
      </c>
      <c r="U4" s="288">
        <f t="shared" si="2"/>
        <v>19</v>
      </c>
      <c r="V4" s="288">
        <f t="shared" si="2"/>
        <v>21</v>
      </c>
      <c r="W4" s="288">
        <f t="shared" si="2"/>
        <v>23</v>
      </c>
      <c r="X4" s="288">
        <f t="shared" si="2"/>
        <v>25</v>
      </c>
      <c r="Y4" s="288">
        <f t="shared" si="2"/>
        <v>27</v>
      </c>
      <c r="Z4" s="288">
        <f t="shared" si="2"/>
        <v>29</v>
      </c>
      <c r="AA4" s="288">
        <f t="shared" si="2"/>
        <v>32</v>
      </c>
      <c r="AB4" s="288">
        <f t="shared" si="2"/>
        <v>35</v>
      </c>
      <c r="AC4" s="288" t="str">
        <f t="shared" si="2"/>
        <v/>
      </c>
      <c r="AD4" s="288" t="str">
        <f t="shared" si="2"/>
        <v/>
      </c>
      <c r="AE4" s="288" t="str">
        <f t="shared" si="2"/>
        <v/>
      </c>
      <c r="AF4" s="288" t="str">
        <f t="shared" si="2"/>
        <v/>
      </c>
      <c r="AG4" s="202" t="s">
        <v>57</v>
      </c>
      <c r="AH4" s="288">
        <f>IF(ISBLANK(L4)=TRUE,"",L4)</f>
        <v>0</v>
      </c>
      <c r="AI4" s="288">
        <f t="shared" si="0"/>
        <v>1</v>
      </c>
      <c r="AJ4" s="288">
        <f t="shared" si="0"/>
        <v>2</v>
      </c>
      <c r="AK4" s="288">
        <f t="shared" si="0"/>
        <v>5</v>
      </c>
      <c r="AL4" s="288">
        <f t="shared" si="0"/>
        <v>7</v>
      </c>
      <c r="AM4" s="288">
        <f t="shared" si="0"/>
        <v>9</v>
      </c>
      <c r="AN4" s="288">
        <f t="shared" si="0"/>
        <v>12</v>
      </c>
      <c r="AO4" s="288">
        <f t="shared" si="0"/>
        <v>14</v>
      </c>
      <c r="AP4" s="288">
        <f t="shared" si="0"/>
        <v>16</v>
      </c>
      <c r="AQ4" s="288">
        <f t="shared" si="0"/>
        <v>19</v>
      </c>
      <c r="AR4" s="288">
        <f t="shared" si="0"/>
        <v>21</v>
      </c>
      <c r="AS4" s="288">
        <f t="shared" si="0"/>
        <v>23</v>
      </c>
      <c r="AT4" s="288">
        <f t="shared" si="0"/>
        <v>25</v>
      </c>
      <c r="AU4" s="288">
        <f t="shared" si="0"/>
        <v>27</v>
      </c>
      <c r="AV4" s="288">
        <f t="shared" si="0"/>
        <v>29</v>
      </c>
      <c r="AW4" s="288">
        <f t="shared" si="0"/>
        <v>32</v>
      </c>
      <c r="AX4" s="288">
        <f t="shared" si="0"/>
        <v>35</v>
      </c>
      <c r="AY4" s="288" t="str">
        <f t="shared" si="1"/>
        <v/>
      </c>
      <c r="AZ4" s="288" t="str">
        <f t="shared" si="1"/>
        <v/>
      </c>
      <c r="BA4" s="288" t="str">
        <f t="shared" si="1"/>
        <v/>
      </c>
      <c r="BB4" s="288" t="str">
        <f t="shared" si="1"/>
        <v/>
      </c>
      <c r="BC4" s="51"/>
    </row>
    <row r="5" spans="1:55">
      <c r="A5" s="25">
        <v>1093342</v>
      </c>
      <c r="B5" s="26">
        <v>11</v>
      </c>
      <c r="C5" s="27"/>
      <c r="D5" s="25"/>
      <c r="E5" s="289" t="s">
        <v>63</v>
      </c>
      <c r="F5" s="29">
        <v>43003</v>
      </c>
      <c r="G5" s="210" t="s">
        <v>67</v>
      </c>
      <c r="H5" s="78"/>
      <c r="I5" s="29">
        <v>43012</v>
      </c>
      <c r="J5" s="30">
        <v>834</v>
      </c>
      <c r="K5" s="32"/>
      <c r="L5" s="78">
        <v>834</v>
      </c>
      <c r="M5" s="78">
        <v>772</v>
      </c>
      <c r="N5" s="78">
        <v>704</v>
      </c>
      <c r="O5" s="78">
        <v>518</v>
      </c>
      <c r="P5" s="78">
        <v>429</v>
      </c>
      <c r="Q5" s="78">
        <v>352</v>
      </c>
      <c r="R5" s="78">
        <v>264</v>
      </c>
      <c r="S5" s="78">
        <v>219</v>
      </c>
      <c r="T5" s="78">
        <v>178</v>
      </c>
      <c r="U5" s="78">
        <v>142</v>
      </c>
      <c r="V5" s="78">
        <v>118</v>
      </c>
      <c r="W5" s="78">
        <v>94</v>
      </c>
      <c r="X5" s="78">
        <v>84</v>
      </c>
      <c r="Y5" s="78">
        <v>69</v>
      </c>
      <c r="Z5" s="78">
        <v>51</v>
      </c>
      <c r="AA5" s="78">
        <v>46</v>
      </c>
      <c r="AB5" s="78">
        <v>36</v>
      </c>
      <c r="AC5" s="78"/>
      <c r="AD5" s="78"/>
      <c r="AE5" s="78"/>
      <c r="AF5" s="78"/>
      <c r="AG5" s="33"/>
      <c r="AH5" s="77">
        <f t="shared" ref="AH5:AW14" si="3">IF(OR(ISERROR(L5/$J5)=TRUE,ISBLANK(L5)=TRUE),"",L5/$J5)</f>
        <v>1</v>
      </c>
      <c r="AI5" s="77">
        <f t="shared" si="3"/>
        <v>0.92565947242206237</v>
      </c>
      <c r="AJ5" s="77">
        <f t="shared" si="3"/>
        <v>0.84412470023980812</v>
      </c>
      <c r="AK5" s="77">
        <f t="shared" si="3"/>
        <v>0.62110311750599523</v>
      </c>
      <c r="AL5" s="77">
        <f t="shared" si="3"/>
        <v>0.51438848920863312</v>
      </c>
      <c r="AM5" s="77">
        <f t="shared" si="3"/>
        <v>0.42206235011990406</v>
      </c>
      <c r="AN5" s="77">
        <f t="shared" si="3"/>
        <v>0.31654676258992803</v>
      </c>
      <c r="AO5" s="77">
        <f t="shared" si="3"/>
        <v>0.26258992805755393</v>
      </c>
      <c r="AP5" s="77">
        <f t="shared" si="3"/>
        <v>0.21342925659472423</v>
      </c>
      <c r="AQ5" s="77">
        <f t="shared" si="3"/>
        <v>0.17026378896882494</v>
      </c>
      <c r="AR5" s="77">
        <f t="shared" si="3"/>
        <v>0.14148681055155876</v>
      </c>
      <c r="AS5" s="77">
        <f t="shared" si="3"/>
        <v>0.11270983213429256</v>
      </c>
      <c r="AT5" s="77">
        <f t="shared" si="3"/>
        <v>0.10071942446043165</v>
      </c>
      <c r="AU5" s="77">
        <f t="shared" si="3"/>
        <v>8.2733812949640287E-2</v>
      </c>
      <c r="AV5" s="77">
        <f t="shared" si="3"/>
        <v>6.1151079136690649E-2</v>
      </c>
      <c r="AW5" s="77">
        <f t="shared" si="3"/>
        <v>5.5155875299760189E-2</v>
      </c>
      <c r="AX5" s="77">
        <f t="shared" ref="AX5:BA14" si="4">IF(OR(ISERROR(AB5/$J5)=TRUE,ISBLANK(AB5)=TRUE),"",AB5/$J5)</f>
        <v>4.3165467625899283E-2</v>
      </c>
      <c r="AY5" s="77"/>
      <c r="AZ5" s="77"/>
      <c r="BA5" s="77" t="str">
        <f>IF(OR(ISERROR(AC5/$J5)=TRUE,ISBLANK(AC5)=TRUE),"",AC5/$J5)</f>
        <v/>
      </c>
      <c r="BB5" s="77" t="str">
        <f t="shared" ref="BB5:BB14" si="5">IF(OR(ISERROR(AF5/$J5)=TRUE,ISBLANK(AF5)=TRUE),"",AF5/$J5)</f>
        <v/>
      </c>
      <c r="BC5" s="3"/>
    </row>
    <row r="6" spans="1:55">
      <c r="A6" s="25">
        <v>1093342</v>
      </c>
      <c r="B6" s="1">
        <v>12</v>
      </c>
      <c r="C6" s="27"/>
      <c r="D6" s="25"/>
      <c r="E6" s="289" t="s">
        <v>63</v>
      </c>
      <c r="F6" s="29">
        <v>43003</v>
      </c>
      <c r="G6" s="210" t="s">
        <v>67</v>
      </c>
      <c r="H6" s="83"/>
      <c r="I6" s="29">
        <v>43012</v>
      </c>
      <c r="J6" s="35">
        <v>1067</v>
      </c>
      <c r="K6" s="36"/>
      <c r="L6" s="78">
        <v>1067</v>
      </c>
      <c r="M6" s="83">
        <v>976</v>
      </c>
      <c r="N6" s="83">
        <v>931</v>
      </c>
      <c r="O6" s="83">
        <v>640</v>
      </c>
      <c r="P6" s="83">
        <v>518</v>
      </c>
      <c r="Q6" s="83">
        <v>426</v>
      </c>
      <c r="R6" s="83">
        <v>329</v>
      </c>
      <c r="S6" s="83">
        <v>272</v>
      </c>
      <c r="T6" s="83">
        <v>217</v>
      </c>
      <c r="U6" s="83">
        <v>173</v>
      </c>
      <c r="V6" s="83">
        <v>139</v>
      </c>
      <c r="W6" s="83">
        <v>113</v>
      </c>
      <c r="X6" s="83">
        <v>100</v>
      </c>
      <c r="Y6" s="83">
        <v>83</v>
      </c>
      <c r="Z6" s="83">
        <v>71</v>
      </c>
      <c r="AA6" s="83">
        <v>57</v>
      </c>
      <c r="AB6" s="83">
        <v>42</v>
      </c>
      <c r="AC6" s="83"/>
      <c r="AD6" s="83"/>
      <c r="AE6" s="83"/>
      <c r="AF6" s="83"/>
      <c r="AG6" s="2"/>
      <c r="AH6" s="73">
        <f t="shared" si="3"/>
        <v>1</v>
      </c>
      <c r="AI6" s="73">
        <f t="shared" si="3"/>
        <v>0.91471415182755389</v>
      </c>
      <c r="AJ6" s="73">
        <f t="shared" si="3"/>
        <v>0.87253983130271795</v>
      </c>
      <c r="AK6" s="73">
        <f t="shared" si="3"/>
        <v>0.59981255857544513</v>
      </c>
      <c r="AL6" s="73">
        <f t="shared" si="3"/>
        <v>0.48547328959700092</v>
      </c>
      <c r="AM6" s="73">
        <f t="shared" si="3"/>
        <v>0.39925023430178069</v>
      </c>
      <c r="AN6" s="73">
        <f t="shared" si="3"/>
        <v>0.30834114339268981</v>
      </c>
      <c r="AO6" s="73">
        <f t="shared" si="3"/>
        <v>0.25492033739456421</v>
      </c>
      <c r="AP6" s="73">
        <f t="shared" si="3"/>
        <v>0.20337394564198688</v>
      </c>
      <c r="AQ6" s="73">
        <f t="shared" si="3"/>
        <v>0.16213683223992503</v>
      </c>
      <c r="AR6" s="73">
        <f t="shared" si="3"/>
        <v>0.13027179006560449</v>
      </c>
      <c r="AS6" s="73">
        <f t="shared" si="3"/>
        <v>0.10590440487347703</v>
      </c>
      <c r="AT6" s="73">
        <f t="shared" si="3"/>
        <v>9.3720712277413312E-2</v>
      </c>
      <c r="AU6" s="73">
        <f t="shared" si="3"/>
        <v>7.7788191190253042E-2</v>
      </c>
      <c r="AV6" s="73">
        <f t="shared" si="3"/>
        <v>6.6541705716963453E-2</v>
      </c>
      <c r="AW6" s="73">
        <f t="shared" si="3"/>
        <v>5.3420805998125584E-2</v>
      </c>
      <c r="AX6" s="73">
        <f t="shared" si="4"/>
        <v>3.9362699156513588E-2</v>
      </c>
      <c r="AY6" s="73" t="str">
        <f t="shared" si="4"/>
        <v/>
      </c>
      <c r="AZ6" s="73" t="str">
        <f t="shared" si="4"/>
        <v/>
      </c>
      <c r="BA6" s="73" t="str">
        <f t="shared" si="4"/>
        <v/>
      </c>
      <c r="BB6" s="73" t="str">
        <f t="shared" si="5"/>
        <v/>
      </c>
      <c r="BC6" s="3"/>
    </row>
    <row r="7" spans="1:55">
      <c r="A7" s="25">
        <v>1093342</v>
      </c>
      <c r="B7" s="1">
        <v>13</v>
      </c>
      <c r="C7" s="27"/>
      <c r="D7" s="25"/>
      <c r="E7" s="289" t="s">
        <v>63</v>
      </c>
      <c r="F7" s="29">
        <v>43003</v>
      </c>
      <c r="G7" s="210" t="s">
        <v>67</v>
      </c>
      <c r="H7" s="83"/>
      <c r="I7" s="29">
        <v>43012</v>
      </c>
      <c r="J7" s="35">
        <v>1071</v>
      </c>
      <c r="K7" s="36"/>
      <c r="L7" s="78">
        <v>1071</v>
      </c>
      <c r="M7" s="83">
        <v>977</v>
      </c>
      <c r="N7" s="83">
        <v>873</v>
      </c>
      <c r="O7" s="83">
        <v>633</v>
      </c>
      <c r="P7" s="83">
        <v>524</v>
      </c>
      <c r="Q7" s="83">
        <v>417</v>
      </c>
      <c r="R7" s="83">
        <v>318</v>
      </c>
      <c r="S7" s="83">
        <v>273</v>
      </c>
      <c r="T7" s="83">
        <v>212</v>
      </c>
      <c r="U7" s="83">
        <v>169</v>
      </c>
      <c r="V7" s="83">
        <v>144</v>
      </c>
      <c r="W7" s="83">
        <v>111</v>
      </c>
      <c r="X7" s="83">
        <v>99</v>
      </c>
      <c r="Y7" s="83">
        <v>81</v>
      </c>
      <c r="Z7" s="83">
        <v>68</v>
      </c>
      <c r="AA7" s="83">
        <v>54</v>
      </c>
      <c r="AB7" s="83">
        <v>41</v>
      </c>
      <c r="AC7" s="83"/>
      <c r="AD7" s="83"/>
      <c r="AE7" s="83"/>
      <c r="AF7" s="83"/>
      <c r="AG7" s="2"/>
      <c r="AH7" s="73">
        <f t="shared" si="3"/>
        <v>1</v>
      </c>
      <c r="AI7" s="73">
        <f t="shared" si="3"/>
        <v>0.9122315592903828</v>
      </c>
      <c r="AJ7" s="73">
        <f t="shared" si="3"/>
        <v>0.81512605042016806</v>
      </c>
      <c r="AK7" s="73">
        <f t="shared" si="3"/>
        <v>0.59103641456582634</v>
      </c>
      <c r="AL7" s="73">
        <f t="shared" si="3"/>
        <v>0.48926237161531277</v>
      </c>
      <c r="AM7" s="73">
        <f t="shared" si="3"/>
        <v>0.38935574229691877</v>
      </c>
      <c r="AN7" s="73">
        <f t="shared" si="3"/>
        <v>0.2969187675070028</v>
      </c>
      <c r="AO7" s="73">
        <f t="shared" si="3"/>
        <v>0.25490196078431371</v>
      </c>
      <c r="AP7" s="73">
        <f t="shared" si="3"/>
        <v>0.19794584500466852</v>
      </c>
      <c r="AQ7" s="73">
        <f t="shared" si="3"/>
        <v>0.15779645191409897</v>
      </c>
      <c r="AR7" s="73">
        <f t="shared" si="3"/>
        <v>0.13445378151260504</v>
      </c>
      <c r="AS7" s="73">
        <f t="shared" si="3"/>
        <v>0.10364145658263306</v>
      </c>
      <c r="AT7" s="73">
        <f t="shared" si="3"/>
        <v>9.2436974789915971E-2</v>
      </c>
      <c r="AU7" s="73">
        <f t="shared" si="3"/>
        <v>7.5630252100840331E-2</v>
      </c>
      <c r="AV7" s="73">
        <f t="shared" si="3"/>
        <v>6.3492063492063489E-2</v>
      </c>
      <c r="AW7" s="73">
        <f t="shared" si="3"/>
        <v>5.0420168067226892E-2</v>
      </c>
      <c r="AX7" s="73">
        <f t="shared" si="4"/>
        <v>3.8281979458450049E-2</v>
      </c>
      <c r="AY7" s="73" t="str">
        <f t="shared" si="4"/>
        <v/>
      </c>
      <c r="AZ7" s="73" t="str">
        <f t="shared" si="4"/>
        <v/>
      </c>
      <c r="BA7" s="73" t="str">
        <f t="shared" si="4"/>
        <v/>
      </c>
      <c r="BB7" s="73" t="str">
        <f t="shared" si="5"/>
        <v/>
      </c>
      <c r="BC7" s="3"/>
    </row>
    <row r="8" spans="1:55">
      <c r="A8" s="25">
        <v>1093342</v>
      </c>
      <c r="B8" s="1">
        <v>14</v>
      </c>
      <c r="C8" s="27"/>
      <c r="D8" s="25"/>
      <c r="E8" s="289" t="s">
        <v>63</v>
      </c>
      <c r="F8" s="29">
        <v>43003</v>
      </c>
      <c r="G8" s="210" t="s">
        <v>67</v>
      </c>
      <c r="H8" s="83"/>
      <c r="I8" s="29">
        <v>43012</v>
      </c>
      <c r="J8" s="35">
        <v>1408</v>
      </c>
      <c r="K8" s="36"/>
      <c r="L8" s="78">
        <v>1408</v>
      </c>
      <c r="M8" s="83">
        <v>1262</v>
      </c>
      <c r="N8" s="83">
        <v>1128</v>
      </c>
      <c r="O8" s="83">
        <v>806</v>
      </c>
      <c r="P8" s="83">
        <v>673</v>
      </c>
      <c r="Q8" s="83">
        <v>532</v>
      </c>
      <c r="R8" s="83">
        <v>412</v>
      </c>
      <c r="S8" s="83">
        <v>344</v>
      </c>
      <c r="T8" s="83">
        <v>269</v>
      </c>
      <c r="U8" s="83">
        <v>217</v>
      </c>
      <c r="V8" s="83">
        <v>180</v>
      </c>
      <c r="W8" s="83">
        <v>147</v>
      </c>
      <c r="X8" s="83">
        <v>125</v>
      </c>
      <c r="Y8" s="83">
        <v>104</v>
      </c>
      <c r="Z8" s="83">
        <v>87</v>
      </c>
      <c r="AA8" s="83">
        <v>69</v>
      </c>
      <c r="AB8" s="83">
        <v>52</v>
      </c>
      <c r="AC8" s="83"/>
      <c r="AD8" s="83"/>
      <c r="AE8" s="83"/>
      <c r="AF8" s="83"/>
      <c r="AG8" s="2"/>
      <c r="AH8" s="73">
        <f t="shared" si="3"/>
        <v>1</v>
      </c>
      <c r="AI8" s="73">
        <f t="shared" si="3"/>
        <v>0.89630681818181823</v>
      </c>
      <c r="AJ8" s="73">
        <f t="shared" si="3"/>
        <v>0.80113636363636365</v>
      </c>
      <c r="AK8" s="73">
        <f t="shared" si="3"/>
        <v>0.57244318181818177</v>
      </c>
      <c r="AL8" s="73">
        <f t="shared" si="3"/>
        <v>0.47798295454545453</v>
      </c>
      <c r="AM8" s="73">
        <f t="shared" si="3"/>
        <v>0.37784090909090912</v>
      </c>
      <c r="AN8" s="73">
        <f t="shared" si="3"/>
        <v>0.29261363636363635</v>
      </c>
      <c r="AO8" s="73">
        <f t="shared" si="3"/>
        <v>0.24431818181818182</v>
      </c>
      <c r="AP8" s="73">
        <f t="shared" si="3"/>
        <v>0.19105113636363635</v>
      </c>
      <c r="AQ8" s="73">
        <f t="shared" si="3"/>
        <v>0.15411931818181818</v>
      </c>
      <c r="AR8" s="73">
        <f t="shared" si="3"/>
        <v>0.12784090909090909</v>
      </c>
      <c r="AS8" s="73">
        <f t="shared" si="3"/>
        <v>0.10440340909090909</v>
      </c>
      <c r="AT8" s="73">
        <f t="shared" si="3"/>
        <v>8.8778409090909088E-2</v>
      </c>
      <c r="AU8" s="73">
        <f t="shared" si="3"/>
        <v>7.3863636363636367E-2</v>
      </c>
      <c r="AV8" s="73">
        <f t="shared" si="3"/>
        <v>6.1789772727272728E-2</v>
      </c>
      <c r="AW8" s="73">
        <f t="shared" si="3"/>
        <v>4.9005681818181816E-2</v>
      </c>
      <c r="AX8" s="73">
        <f t="shared" si="4"/>
        <v>3.6931818181818184E-2</v>
      </c>
      <c r="AY8" s="73" t="str">
        <f t="shared" si="4"/>
        <v/>
      </c>
      <c r="AZ8" s="73" t="str">
        <f t="shared" si="4"/>
        <v/>
      </c>
      <c r="BA8" s="73" t="str">
        <f t="shared" si="4"/>
        <v/>
      </c>
      <c r="BB8" s="73" t="str">
        <f t="shared" si="5"/>
        <v/>
      </c>
      <c r="BC8" s="3"/>
    </row>
    <row r="9" spans="1:55">
      <c r="A9" s="25">
        <v>1093342</v>
      </c>
      <c r="B9" s="1">
        <v>15</v>
      </c>
      <c r="C9" s="27"/>
      <c r="D9" s="25"/>
      <c r="E9" s="289" t="s">
        <v>63</v>
      </c>
      <c r="F9" s="29">
        <v>43003</v>
      </c>
      <c r="G9" s="210" t="s">
        <v>67</v>
      </c>
      <c r="H9" s="83"/>
      <c r="I9" s="29">
        <v>43012</v>
      </c>
      <c r="J9" s="35">
        <v>1303</v>
      </c>
      <c r="K9" s="36"/>
      <c r="L9" s="78">
        <v>1303</v>
      </c>
      <c r="M9" s="83">
        <v>1064</v>
      </c>
      <c r="N9" s="83">
        <v>1043</v>
      </c>
      <c r="O9" s="83">
        <v>761</v>
      </c>
      <c r="P9" s="83">
        <v>632</v>
      </c>
      <c r="Q9" s="83">
        <v>497</v>
      </c>
      <c r="R9" s="83">
        <v>384</v>
      </c>
      <c r="S9" s="83">
        <v>326</v>
      </c>
      <c r="T9" s="83">
        <v>262</v>
      </c>
      <c r="U9" s="83">
        <v>205</v>
      </c>
      <c r="V9" s="83">
        <v>167</v>
      </c>
      <c r="W9" s="83">
        <v>133</v>
      </c>
      <c r="X9" s="83">
        <v>116</v>
      </c>
      <c r="Y9" s="83">
        <v>97</v>
      </c>
      <c r="Z9" s="83">
        <v>83</v>
      </c>
      <c r="AA9" s="83">
        <v>55</v>
      </c>
      <c r="AB9" s="83">
        <v>44</v>
      </c>
      <c r="AC9" s="83"/>
      <c r="AD9" s="83"/>
      <c r="AE9" s="83"/>
      <c r="AF9" s="83"/>
      <c r="AG9" s="2"/>
      <c r="AH9" s="73">
        <f t="shared" si="3"/>
        <v>1</v>
      </c>
      <c r="AI9" s="73">
        <f t="shared" si="3"/>
        <v>0.81657712970069074</v>
      </c>
      <c r="AJ9" s="73">
        <f t="shared" si="3"/>
        <v>0.80046047582501922</v>
      </c>
      <c r="AK9" s="73">
        <f t="shared" si="3"/>
        <v>0.58403683806600148</v>
      </c>
      <c r="AL9" s="73">
        <f t="shared" si="3"/>
        <v>0.48503453568687643</v>
      </c>
      <c r="AM9" s="73">
        <f t="shared" si="3"/>
        <v>0.38142747505755947</v>
      </c>
      <c r="AN9" s="73">
        <f t="shared" si="3"/>
        <v>0.29470452801227937</v>
      </c>
      <c r="AO9" s="73">
        <f t="shared" si="3"/>
        <v>0.25019186492709133</v>
      </c>
      <c r="AP9" s="73">
        <f t="shared" si="3"/>
        <v>0.20107444359171142</v>
      </c>
      <c r="AQ9" s="73">
        <f t="shared" si="3"/>
        <v>0.15732924021488873</v>
      </c>
      <c r="AR9" s="73">
        <f t="shared" si="3"/>
        <v>0.1281657712970069</v>
      </c>
      <c r="AS9" s="73">
        <f t="shared" si="3"/>
        <v>0.10207214121258634</v>
      </c>
      <c r="AT9" s="73">
        <f t="shared" si="3"/>
        <v>8.9025326170376048E-2</v>
      </c>
      <c r="AU9" s="73">
        <f t="shared" si="3"/>
        <v>7.444359171143515E-2</v>
      </c>
      <c r="AV9" s="73">
        <f t="shared" si="3"/>
        <v>6.3699155794320797E-2</v>
      </c>
      <c r="AW9" s="73">
        <f t="shared" si="3"/>
        <v>4.2210283960092097E-2</v>
      </c>
      <c r="AX9" s="73">
        <f t="shared" si="4"/>
        <v>3.3768227168073678E-2</v>
      </c>
      <c r="AY9" s="73" t="str">
        <f t="shared" si="4"/>
        <v/>
      </c>
      <c r="AZ9" s="73" t="str">
        <f t="shared" si="4"/>
        <v/>
      </c>
      <c r="BA9" s="73" t="str">
        <f t="shared" si="4"/>
        <v/>
      </c>
      <c r="BB9" s="73" t="str">
        <f t="shared" si="5"/>
        <v/>
      </c>
      <c r="BC9" s="3"/>
    </row>
    <row r="10" spans="1:55">
      <c r="A10" s="37">
        <v>1093343</v>
      </c>
      <c r="B10" s="1">
        <v>21</v>
      </c>
      <c r="C10" s="27"/>
      <c r="D10" s="25"/>
      <c r="E10" s="289" t="s">
        <v>62</v>
      </c>
      <c r="F10" s="29">
        <v>43003</v>
      </c>
      <c r="G10" s="210" t="s">
        <v>67</v>
      </c>
      <c r="H10" s="83"/>
      <c r="I10" s="29">
        <v>43012</v>
      </c>
      <c r="J10" s="35">
        <v>0</v>
      </c>
      <c r="K10" s="36"/>
      <c r="L10" s="78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/>
      <c r="AD10" s="83"/>
      <c r="AE10" s="83"/>
      <c r="AF10" s="83"/>
      <c r="AG10" s="2"/>
      <c r="AH10" s="73" t="str">
        <f t="shared" si="3"/>
        <v/>
      </c>
      <c r="AI10" s="73" t="str">
        <f t="shared" si="3"/>
        <v/>
      </c>
      <c r="AJ10" s="73" t="str">
        <f t="shared" si="3"/>
        <v/>
      </c>
      <c r="AK10" s="73" t="str">
        <f t="shared" si="3"/>
        <v/>
      </c>
      <c r="AL10" s="73" t="str">
        <f t="shared" si="3"/>
        <v/>
      </c>
      <c r="AM10" s="73" t="str">
        <f t="shared" si="3"/>
        <v/>
      </c>
      <c r="AN10" s="73" t="str">
        <f t="shared" si="3"/>
        <v/>
      </c>
      <c r="AO10" s="73" t="str">
        <f t="shared" si="3"/>
        <v/>
      </c>
      <c r="AP10" s="73" t="str">
        <f t="shared" si="3"/>
        <v/>
      </c>
      <c r="AQ10" s="73" t="str">
        <f t="shared" si="3"/>
        <v/>
      </c>
      <c r="AR10" s="73" t="str">
        <f t="shared" si="3"/>
        <v/>
      </c>
      <c r="AS10" s="73" t="str">
        <f t="shared" si="3"/>
        <v/>
      </c>
      <c r="AT10" s="73" t="str">
        <f t="shared" si="3"/>
        <v/>
      </c>
      <c r="AU10" s="73" t="str">
        <f t="shared" si="3"/>
        <v/>
      </c>
      <c r="AV10" s="73" t="str">
        <f t="shared" si="3"/>
        <v/>
      </c>
      <c r="AW10" s="73" t="str">
        <f t="shared" si="3"/>
        <v/>
      </c>
      <c r="AX10" s="73" t="str">
        <f t="shared" si="4"/>
        <v/>
      </c>
      <c r="AY10" s="73"/>
      <c r="AZ10" s="73"/>
      <c r="BA10" s="73" t="str">
        <f>IF(OR(ISERROR(AC10/$J10)=TRUE,ISBLANK(AC10)=TRUE),"",AC10/$J10)</f>
        <v/>
      </c>
      <c r="BB10" s="73" t="str">
        <f t="shared" si="5"/>
        <v/>
      </c>
      <c r="BC10" s="3"/>
    </row>
    <row r="11" spans="1:55">
      <c r="A11" s="37">
        <v>1093343</v>
      </c>
      <c r="B11" s="1">
        <v>22</v>
      </c>
      <c r="C11" s="27"/>
      <c r="D11" s="25"/>
      <c r="E11" s="289" t="s">
        <v>63</v>
      </c>
      <c r="F11" s="29">
        <v>43003</v>
      </c>
      <c r="G11" s="210" t="s">
        <v>67</v>
      </c>
      <c r="H11" s="83"/>
      <c r="I11" s="29">
        <v>43012</v>
      </c>
      <c r="J11" s="35">
        <v>1078</v>
      </c>
      <c r="K11" s="36"/>
      <c r="L11" s="78">
        <v>1078</v>
      </c>
      <c r="M11" s="83">
        <v>994</v>
      </c>
      <c r="N11" s="83">
        <v>893</v>
      </c>
      <c r="O11" s="83">
        <v>651</v>
      </c>
      <c r="P11" s="83">
        <v>524</v>
      </c>
      <c r="Q11" s="83">
        <v>409</v>
      </c>
      <c r="R11" s="83">
        <v>322</v>
      </c>
      <c r="S11" s="83">
        <v>274</v>
      </c>
      <c r="T11" s="83">
        <v>209</v>
      </c>
      <c r="U11" s="83">
        <v>169</v>
      </c>
      <c r="V11" s="83">
        <v>140</v>
      </c>
      <c r="W11" s="83">
        <v>110</v>
      </c>
      <c r="X11" s="83">
        <v>96</v>
      </c>
      <c r="Y11" s="83">
        <v>80</v>
      </c>
      <c r="Z11" s="83">
        <v>67</v>
      </c>
      <c r="AA11" s="83">
        <v>52</v>
      </c>
      <c r="AB11" s="83">
        <v>40</v>
      </c>
      <c r="AC11" s="83"/>
      <c r="AD11" s="83"/>
      <c r="AE11" s="83"/>
      <c r="AF11" s="83"/>
      <c r="AG11" s="2"/>
      <c r="AH11" s="73">
        <f t="shared" si="3"/>
        <v>1</v>
      </c>
      <c r="AI11" s="73">
        <f t="shared" si="3"/>
        <v>0.92207792207792205</v>
      </c>
      <c r="AJ11" s="73">
        <f t="shared" si="3"/>
        <v>0.82838589981447119</v>
      </c>
      <c r="AK11" s="73">
        <f t="shared" si="3"/>
        <v>0.60389610389610393</v>
      </c>
      <c r="AL11" s="73">
        <f t="shared" si="3"/>
        <v>0.48608534322820035</v>
      </c>
      <c r="AM11" s="73">
        <f t="shared" si="3"/>
        <v>0.37940630797773656</v>
      </c>
      <c r="AN11" s="73">
        <f t="shared" si="3"/>
        <v>0.29870129870129869</v>
      </c>
      <c r="AO11" s="73">
        <f t="shared" si="3"/>
        <v>0.25417439703153988</v>
      </c>
      <c r="AP11" s="73">
        <f t="shared" si="3"/>
        <v>0.19387755102040816</v>
      </c>
      <c r="AQ11" s="73">
        <f t="shared" si="3"/>
        <v>0.1567717996289425</v>
      </c>
      <c r="AR11" s="73">
        <f t="shared" si="3"/>
        <v>0.12987012987012986</v>
      </c>
      <c r="AS11" s="73">
        <f t="shared" si="3"/>
        <v>0.10204081632653061</v>
      </c>
      <c r="AT11" s="73">
        <f t="shared" si="3"/>
        <v>8.9053803339517623E-2</v>
      </c>
      <c r="AU11" s="73">
        <f t="shared" si="3"/>
        <v>7.4211502782931357E-2</v>
      </c>
      <c r="AV11" s="73">
        <f t="shared" si="3"/>
        <v>6.215213358070501E-2</v>
      </c>
      <c r="AW11" s="73">
        <f t="shared" si="3"/>
        <v>4.8237476808905382E-2</v>
      </c>
      <c r="AX11" s="73">
        <f t="shared" si="4"/>
        <v>3.7105751391465679E-2</v>
      </c>
      <c r="AY11" s="73" t="str">
        <f t="shared" si="4"/>
        <v/>
      </c>
      <c r="AZ11" s="73" t="str">
        <f t="shared" si="4"/>
        <v/>
      </c>
      <c r="BA11" s="73" t="str">
        <f t="shared" si="4"/>
        <v/>
      </c>
      <c r="BB11" s="73" t="str">
        <f t="shared" si="5"/>
        <v/>
      </c>
      <c r="BC11" s="3"/>
    </row>
    <row r="12" spans="1:55">
      <c r="A12" s="37">
        <v>1093343</v>
      </c>
      <c r="B12" s="1">
        <v>23</v>
      </c>
      <c r="C12" s="27"/>
      <c r="D12" s="25"/>
      <c r="E12" s="289" t="s">
        <v>79</v>
      </c>
      <c r="F12" s="29">
        <v>43003</v>
      </c>
      <c r="G12" s="210" t="s">
        <v>67</v>
      </c>
      <c r="H12" s="83"/>
      <c r="I12" s="29">
        <v>43012</v>
      </c>
      <c r="J12" s="35">
        <v>997</v>
      </c>
      <c r="K12" s="36"/>
      <c r="L12" s="78">
        <v>997</v>
      </c>
      <c r="M12" s="83">
        <v>890</v>
      </c>
      <c r="N12" s="83">
        <v>798</v>
      </c>
      <c r="O12" s="83">
        <v>577</v>
      </c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2"/>
      <c r="AH12" s="73">
        <f t="shared" si="3"/>
        <v>1</v>
      </c>
      <c r="AI12" s="73">
        <f t="shared" si="3"/>
        <v>0.89267803410230695</v>
      </c>
      <c r="AJ12" s="73">
        <f t="shared" si="3"/>
        <v>0.80040120361083245</v>
      </c>
      <c r="AK12" s="73">
        <f t="shared" si="3"/>
        <v>0.5787362086258776</v>
      </c>
      <c r="AL12" s="73" t="str">
        <f t="shared" si="3"/>
        <v/>
      </c>
      <c r="AM12" s="73" t="str">
        <f t="shared" si="3"/>
        <v/>
      </c>
      <c r="AN12" s="73" t="str">
        <f t="shared" si="3"/>
        <v/>
      </c>
      <c r="AO12" s="73" t="str">
        <f t="shared" si="3"/>
        <v/>
      </c>
      <c r="AP12" s="73" t="str">
        <f t="shared" si="3"/>
        <v/>
      </c>
      <c r="AQ12" s="73" t="str">
        <f t="shared" si="3"/>
        <v/>
      </c>
      <c r="AR12" s="73" t="str">
        <f t="shared" si="3"/>
        <v/>
      </c>
      <c r="AS12" s="73" t="str">
        <f t="shared" si="3"/>
        <v/>
      </c>
      <c r="AT12" s="73" t="str">
        <f t="shared" si="3"/>
        <v/>
      </c>
      <c r="AU12" s="73" t="str">
        <f t="shared" si="3"/>
        <v/>
      </c>
      <c r="AV12" s="73" t="str">
        <f t="shared" si="3"/>
        <v/>
      </c>
      <c r="AW12" s="73" t="str">
        <f t="shared" si="3"/>
        <v/>
      </c>
      <c r="AX12" s="73" t="str">
        <f t="shared" si="4"/>
        <v/>
      </c>
      <c r="AY12" s="73" t="str">
        <f t="shared" si="4"/>
        <v/>
      </c>
      <c r="AZ12" s="73" t="str">
        <f t="shared" si="4"/>
        <v/>
      </c>
      <c r="BA12" s="73" t="str">
        <f t="shared" si="4"/>
        <v/>
      </c>
      <c r="BB12" s="73" t="str">
        <f t="shared" si="5"/>
        <v/>
      </c>
      <c r="BC12" s="3"/>
    </row>
    <row r="13" spans="1:55">
      <c r="A13" s="37">
        <v>1093343</v>
      </c>
      <c r="B13" s="1">
        <v>24</v>
      </c>
      <c r="C13" s="27"/>
      <c r="D13" s="25"/>
      <c r="E13" s="289" t="s">
        <v>62</v>
      </c>
      <c r="F13" s="29">
        <v>43003</v>
      </c>
      <c r="G13" s="210" t="s">
        <v>67</v>
      </c>
      <c r="H13" s="83"/>
      <c r="I13" s="29">
        <v>43012</v>
      </c>
      <c r="J13" s="35">
        <v>0</v>
      </c>
      <c r="K13" s="36"/>
      <c r="L13" s="78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/>
      <c r="AD13" s="83"/>
      <c r="AE13" s="83"/>
      <c r="AF13" s="83"/>
      <c r="AG13" s="2"/>
      <c r="AH13" s="73" t="str">
        <f t="shared" si="3"/>
        <v/>
      </c>
      <c r="AI13" s="73" t="str">
        <f t="shared" si="3"/>
        <v/>
      </c>
      <c r="AJ13" s="73" t="str">
        <f t="shared" si="3"/>
        <v/>
      </c>
      <c r="AK13" s="73" t="str">
        <f t="shared" si="3"/>
        <v/>
      </c>
      <c r="AL13" s="73" t="str">
        <f t="shared" si="3"/>
        <v/>
      </c>
      <c r="AM13" s="73" t="str">
        <f t="shared" si="3"/>
        <v/>
      </c>
      <c r="AN13" s="73" t="str">
        <f t="shared" si="3"/>
        <v/>
      </c>
      <c r="AO13" s="73" t="str">
        <f t="shared" si="3"/>
        <v/>
      </c>
      <c r="AP13" s="73" t="str">
        <f t="shared" si="3"/>
        <v/>
      </c>
      <c r="AQ13" s="73" t="str">
        <f t="shared" si="3"/>
        <v/>
      </c>
      <c r="AR13" s="73" t="str">
        <f t="shared" si="3"/>
        <v/>
      </c>
      <c r="AS13" s="73" t="str">
        <f t="shared" si="3"/>
        <v/>
      </c>
      <c r="AT13" s="73" t="str">
        <f t="shared" si="3"/>
        <v/>
      </c>
      <c r="AU13" s="73" t="str">
        <f t="shared" si="3"/>
        <v/>
      </c>
      <c r="AV13" s="73" t="str">
        <f t="shared" si="3"/>
        <v/>
      </c>
      <c r="AW13" s="73" t="str">
        <f t="shared" si="3"/>
        <v/>
      </c>
      <c r="AX13" s="73" t="str">
        <f t="shared" si="4"/>
        <v/>
      </c>
      <c r="AY13" s="73"/>
      <c r="AZ13" s="73"/>
      <c r="BA13" s="73" t="str">
        <f>IF(OR(ISERROR(AC13/$J13)=TRUE,ISBLANK(AC13)=TRUE),"",AC13/$J13)</f>
        <v/>
      </c>
      <c r="BB13" s="73" t="str">
        <f t="shared" si="5"/>
        <v/>
      </c>
      <c r="BC13" s="3"/>
    </row>
    <row r="14" spans="1:55">
      <c r="A14" s="38">
        <v>1093343</v>
      </c>
      <c r="B14" s="4">
        <v>25</v>
      </c>
      <c r="C14" s="89"/>
      <c r="D14" s="25"/>
      <c r="E14" s="34" t="s">
        <v>63</v>
      </c>
      <c r="F14" s="29">
        <v>43003</v>
      </c>
      <c r="G14" s="211" t="s">
        <v>67</v>
      </c>
      <c r="H14" s="84"/>
      <c r="I14" s="29">
        <v>43012</v>
      </c>
      <c r="J14" s="40">
        <v>1230</v>
      </c>
      <c r="K14" s="42"/>
      <c r="L14" s="91">
        <v>1230</v>
      </c>
      <c r="M14" s="84">
        <v>1149</v>
      </c>
      <c r="N14" s="84">
        <v>1030</v>
      </c>
      <c r="O14" s="84">
        <v>763</v>
      </c>
      <c r="P14" s="84">
        <v>621</v>
      </c>
      <c r="Q14" s="84">
        <v>491</v>
      </c>
      <c r="R14" s="84">
        <v>378</v>
      </c>
      <c r="S14" s="84">
        <v>313</v>
      </c>
      <c r="T14" s="84">
        <v>254</v>
      </c>
      <c r="U14" s="84">
        <v>205</v>
      </c>
      <c r="V14" s="84">
        <v>170</v>
      </c>
      <c r="W14" s="84">
        <v>133</v>
      </c>
      <c r="X14" s="84">
        <v>118</v>
      </c>
      <c r="Y14" s="84">
        <v>97</v>
      </c>
      <c r="Z14" s="84">
        <v>81</v>
      </c>
      <c r="AA14" s="84">
        <v>62</v>
      </c>
      <c r="AB14" s="84">
        <v>49</v>
      </c>
      <c r="AC14" s="84"/>
      <c r="AD14" s="84"/>
      <c r="AE14" s="84"/>
      <c r="AF14" s="84"/>
      <c r="AG14" s="5"/>
      <c r="AH14" s="73">
        <f t="shared" si="3"/>
        <v>1</v>
      </c>
      <c r="AI14" s="73">
        <f t="shared" si="3"/>
        <v>0.93414634146341469</v>
      </c>
      <c r="AJ14" s="73">
        <f t="shared" si="3"/>
        <v>0.83739837398373984</v>
      </c>
      <c r="AK14" s="73">
        <f t="shared" si="3"/>
        <v>0.62032520325203255</v>
      </c>
      <c r="AL14" s="73">
        <f t="shared" si="3"/>
        <v>0.50487804878048781</v>
      </c>
      <c r="AM14" s="73">
        <f t="shared" si="3"/>
        <v>0.39918699186991868</v>
      </c>
      <c r="AN14" s="73">
        <f t="shared" si="3"/>
        <v>0.3073170731707317</v>
      </c>
      <c r="AO14" s="73">
        <f t="shared" si="3"/>
        <v>0.25447154471544714</v>
      </c>
      <c r="AP14" s="73">
        <f t="shared" si="3"/>
        <v>0.20650406504065041</v>
      </c>
      <c r="AQ14" s="73">
        <f t="shared" si="3"/>
        <v>0.16666666666666666</v>
      </c>
      <c r="AR14" s="73">
        <f t="shared" si="3"/>
        <v>0.13821138211382114</v>
      </c>
      <c r="AS14" s="73">
        <f t="shared" si="3"/>
        <v>0.108130081300813</v>
      </c>
      <c r="AT14" s="73">
        <f t="shared" si="3"/>
        <v>9.5934959349593493E-2</v>
      </c>
      <c r="AU14" s="73">
        <f t="shared" si="3"/>
        <v>7.8861788617886175E-2</v>
      </c>
      <c r="AV14" s="73">
        <f t="shared" si="3"/>
        <v>6.5853658536585369E-2</v>
      </c>
      <c r="AW14" s="73">
        <f t="shared" si="3"/>
        <v>5.0406504065040651E-2</v>
      </c>
      <c r="AX14" s="73">
        <f t="shared" si="4"/>
        <v>3.9837398373983743E-2</v>
      </c>
      <c r="AY14" s="73" t="str">
        <f t="shared" si="4"/>
        <v/>
      </c>
      <c r="AZ14" s="73" t="str">
        <f t="shared" si="4"/>
        <v/>
      </c>
      <c r="BA14" s="73" t="str">
        <f t="shared" si="4"/>
        <v/>
      </c>
      <c r="BB14" s="73" t="str">
        <f t="shared" si="5"/>
        <v/>
      </c>
      <c r="BC14" s="3"/>
    </row>
    <row r="15" spans="1:55">
      <c r="A15" s="290"/>
      <c r="B15" s="291"/>
      <c r="C15" s="292"/>
      <c r="D15" s="291"/>
      <c r="E15" s="293"/>
      <c r="F15" s="294"/>
      <c r="G15" s="295"/>
      <c r="H15" s="296"/>
      <c r="I15" s="294"/>
      <c r="J15" s="297"/>
      <c r="K15" s="291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</row>
    <row r="16" spans="1:55" ht="15" customHeight="1">
      <c r="E16" s="93" t="s">
        <v>17</v>
      </c>
      <c r="I16" s="322" t="s">
        <v>18</v>
      </c>
      <c r="J16" s="322"/>
      <c r="K16" s="255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129" t="s">
        <v>18</v>
      </c>
      <c r="AH16" s="146">
        <f t="shared" ref="AH16:BB16" si="6">EXP(AH4*-LN(2)/8.0197)</f>
        <v>1</v>
      </c>
      <c r="AI16" s="146">
        <f t="shared" si="6"/>
        <v>0.91719923476942955</v>
      </c>
      <c r="AJ16" s="146">
        <f t="shared" si="6"/>
        <v>0.8412544362616271</v>
      </c>
      <c r="AK16" s="146">
        <f t="shared" si="6"/>
        <v>0.64911017757261291</v>
      </c>
      <c r="AL16" s="146">
        <f t="shared" si="6"/>
        <v>0.54606681650553313</v>
      </c>
      <c r="AM16" s="146">
        <f t="shared" si="6"/>
        <v>0.45938113188054369</v>
      </c>
      <c r="AN16" s="146">
        <f t="shared" si="6"/>
        <v>0.35445752822841803</v>
      </c>
      <c r="AO16" s="146">
        <f t="shared" si="6"/>
        <v>0.2981889680884876</v>
      </c>
      <c r="AP16" s="146">
        <f t="shared" si="6"/>
        <v>0.25085279224871693</v>
      </c>
      <c r="AQ16" s="146">
        <f t="shared" si="6"/>
        <v>0.19355749402611236</v>
      </c>
      <c r="AR16" s="146">
        <f t="shared" si="6"/>
        <v>0.16283110052115041</v>
      </c>
      <c r="AS16" s="146">
        <f t="shared" si="6"/>
        <v>0.13698238567478072</v>
      </c>
      <c r="AT16" s="146">
        <f t="shared" si="6"/>
        <v>0.11523703963861046</v>
      </c>
      <c r="AU16" s="146">
        <f t="shared" si="6"/>
        <v>9.6943670817638009E-2</v>
      </c>
      <c r="AV16" s="146">
        <f t="shared" si="6"/>
        <v>8.1554293142824807E-2</v>
      </c>
      <c r="AW16" s="146">
        <f t="shared" si="6"/>
        <v>6.2927123378977948E-2</v>
      </c>
      <c r="AX16" s="146">
        <f t="shared" si="6"/>
        <v>4.8554437837114647E-2</v>
      </c>
      <c r="AY16" s="146" t="e">
        <f t="shared" si="6"/>
        <v>#VALUE!</v>
      </c>
      <c r="AZ16" s="146" t="e">
        <f t="shared" si="6"/>
        <v>#VALUE!</v>
      </c>
      <c r="BA16" s="146" t="e">
        <f t="shared" si="6"/>
        <v>#VALUE!</v>
      </c>
      <c r="BB16" s="146" t="e">
        <f t="shared" si="6"/>
        <v>#VALUE!</v>
      </c>
      <c r="BC16" s="98"/>
    </row>
    <row r="17" spans="1:55">
      <c r="I17" s="323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133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98"/>
    </row>
    <row r="18" spans="1:55" ht="14.25" customHeight="1">
      <c r="A18" s="53"/>
      <c r="B18" s="53"/>
      <c r="C18" s="53"/>
      <c r="E18" s="93" t="s">
        <v>16</v>
      </c>
      <c r="I18" s="300" t="s">
        <v>16</v>
      </c>
      <c r="J18" s="57">
        <f>AVERAGE(J5:J14)</f>
        <v>898.8</v>
      </c>
      <c r="K18" s="248" t="s">
        <v>9</v>
      </c>
      <c r="L18" s="78">
        <f t="shared" ref="L18:AF18" si="7">AVERAGE(L5:L14)</f>
        <v>898.8</v>
      </c>
      <c r="M18" s="78">
        <f t="shared" si="7"/>
        <v>808.4</v>
      </c>
      <c r="N18" s="78">
        <f t="shared" si="7"/>
        <v>740</v>
      </c>
      <c r="O18" s="78">
        <f t="shared" si="7"/>
        <v>534.9</v>
      </c>
      <c r="P18" s="78">
        <f t="shared" si="7"/>
        <v>435.66666666666669</v>
      </c>
      <c r="Q18" s="78">
        <f t="shared" si="7"/>
        <v>347.11111111111109</v>
      </c>
      <c r="R18" s="78">
        <f t="shared" si="7"/>
        <v>267.44444444444446</v>
      </c>
      <c r="S18" s="78">
        <f t="shared" si="7"/>
        <v>224.55555555555554</v>
      </c>
      <c r="T18" s="78">
        <f t="shared" si="7"/>
        <v>177.88888888888889</v>
      </c>
      <c r="U18" s="78">
        <f t="shared" si="7"/>
        <v>142.22222222222223</v>
      </c>
      <c r="V18" s="78">
        <f t="shared" si="7"/>
        <v>117.55555555555556</v>
      </c>
      <c r="W18" s="78">
        <f t="shared" si="7"/>
        <v>93.444444444444443</v>
      </c>
      <c r="X18" s="78">
        <f t="shared" si="7"/>
        <v>82</v>
      </c>
      <c r="Y18" s="78">
        <f t="shared" si="7"/>
        <v>67.888888888888886</v>
      </c>
      <c r="Z18" s="78">
        <f t="shared" si="7"/>
        <v>56.444444444444443</v>
      </c>
      <c r="AA18" s="78">
        <f t="shared" si="7"/>
        <v>43.888888888888886</v>
      </c>
      <c r="AB18" s="78">
        <f t="shared" si="7"/>
        <v>33.777777777777779</v>
      </c>
      <c r="AC18" s="78" t="e">
        <f t="shared" si="7"/>
        <v>#DIV/0!</v>
      </c>
      <c r="AD18" s="78" t="e">
        <f t="shared" si="7"/>
        <v>#DIV/0!</v>
      </c>
      <c r="AE18" s="78" t="e">
        <f t="shared" si="7"/>
        <v>#DIV/0!</v>
      </c>
      <c r="AF18" s="78" t="e">
        <f t="shared" si="7"/>
        <v>#DIV/0!</v>
      </c>
      <c r="AG18" s="129" t="s">
        <v>9</v>
      </c>
      <c r="AH18" s="73">
        <f t="shared" ref="AH18:BB18" si="8">AVERAGE(AH5:AH14)</f>
        <v>1</v>
      </c>
      <c r="AI18" s="73">
        <f t="shared" si="8"/>
        <v>0.90179892863326905</v>
      </c>
      <c r="AJ18" s="73">
        <f t="shared" si="8"/>
        <v>0.82494661235414002</v>
      </c>
      <c r="AK18" s="73">
        <f t="shared" si="8"/>
        <v>0.59642370328818295</v>
      </c>
      <c r="AL18" s="73">
        <f t="shared" si="8"/>
        <v>0.49187214752313801</v>
      </c>
      <c r="AM18" s="73">
        <f t="shared" si="8"/>
        <v>0.39264714438781823</v>
      </c>
      <c r="AN18" s="73">
        <f t="shared" si="8"/>
        <v>0.30216331567679522</v>
      </c>
      <c r="AO18" s="73">
        <f t="shared" si="8"/>
        <v>0.25365260210409885</v>
      </c>
      <c r="AP18" s="73">
        <f t="shared" si="8"/>
        <v>0.20103660617968369</v>
      </c>
      <c r="AQ18" s="73">
        <f t="shared" si="8"/>
        <v>0.16072629968788071</v>
      </c>
      <c r="AR18" s="73">
        <f t="shared" si="8"/>
        <v>0.13290008207166218</v>
      </c>
      <c r="AS18" s="73">
        <f t="shared" si="8"/>
        <v>0.10555744878874883</v>
      </c>
      <c r="AT18" s="73">
        <f t="shared" si="8"/>
        <v>9.2809944211165313E-2</v>
      </c>
      <c r="AU18" s="73">
        <f t="shared" si="8"/>
        <v>7.6790396530946103E-2</v>
      </c>
      <c r="AV18" s="73">
        <f t="shared" si="8"/>
        <v>6.352565271208592E-2</v>
      </c>
      <c r="AW18" s="73">
        <f t="shared" si="8"/>
        <v>4.983668514533323E-2</v>
      </c>
      <c r="AX18" s="73">
        <f t="shared" si="8"/>
        <v>3.8350477336600595E-2</v>
      </c>
      <c r="AY18" s="73" t="e">
        <f t="shared" si="8"/>
        <v>#DIV/0!</v>
      </c>
      <c r="AZ18" s="73" t="e">
        <f t="shared" si="8"/>
        <v>#DIV/0!</v>
      </c>
      <c r="BA18" s="73" t="e">
        <f t="shared" si="8"/>
        <v>#DIV/0!</v>
      </c>
      <c r="BB18" s="73" t="e">
        <f t="shared" si="8"/>
        <v>#DIV/0!</v>
      </c>
      <c r="BC18" s="76"/>
    </row>
    <row r="19" spans="1:55" ht="14.25" customHeight="1">
      <c r="E19" s="301"/>
      <c r="I19" s="300"/>
      <c r="J19" s="57">
        <f>_xlfn.STDEV.P(J5:J14)</f>
        <v>474.54584604651217</v>
      </c>
      <c r="K19" s="248" t="s">
        <v>11</v>
      </c>
      <c r="L19" s="81">
        <f t="shared" ref="L19:AF19" si="9">STDEVA(L5:L14)</f>
        <v>500.21524255952943</v>
      </c>
      <c r="M19" s="81">
        <f t="shared" si="9"/>
        <v>446.35068425323755</v>
      </c>
      <c r="N19" s="81">
        <f t="shared" si="9"/>
        <v>408.77758146834708</v>
      </c>
      <c r="O19" s="81">
        <f t="shared" si="9"/>
        <v>295.35080836185296</v>
      </c>
      <c r="P19" s="81">
        <f t="shared" si="9"/>
        <v>257.69701201216907</v>
      </c>
      <c r="Q19" s="81">
        <f t="shared" si="9"/>
        <v>204.1105365019433</v>
      </c>
      <c r="R19" s="81">
        <f t="shared" si="9"/>
        <v>157.75385186352116</v>
      </c>
      <c r="S19" s="81">
        <f t="shared" si="9"/>
        <v>132.43121904512464</v>
      </c>
      <c r="T19" s="81">
        <f t="shared" si="9"/>
        <v>104.95170847161617</v>
      </c>
      <c r="U19" s="81">
        <f t="shared" si="9"/>
        <v>83.896927503004818</v>
      </c>
      <c r="V19" s="81">
        <f t="shared" si="9"/>
        <v>69.278624248593289</v>
      </c>
      <c r="W19" s="81">
        <f t="shared" si="9"/>
        <v>55.256472722910729</v>
      </c>
      <c r="X19" s="81">
        <f t="shared" si="9"/>
        <v>48.168973416505359</v>
      </c>
      <c r="Y19" s="81">
        <f t="shared" si="9"/>
        <v>39.945101215432054</v>
      </c>
      <c r="Z19" s="81">
        <f t="shared" si="9"/>
        <v>33.727255710741986</v>
      </c>
      <c r="AA19" s="81">
        <f t="shared" si="9"/>
        <v>25.687761893771736</v>
      </c>
      <c r="AB19" s="81">
        <f t="shared" si="9"/>
        <v>19.728011669817217</v>
      </c>
      <c r="AC19" s="81" t="e">
        <f t="shared" si="9"/>
        <v>#DIV/0!</v>
      </c>
      <c r="AD19" s="81" t="e">
        <f t="shared" si="9"/>
        <v>#DIV/0!</v>
      </c>
      <c r="AE19" s="81" t="e">
        <f t="shared" si="9"/>
        <v>#DIV/0!</v>
      </c>
      <c r="AF19" s="81" t="e">
        <f t="shared" si="9"/>
        <v>#DIV/0!</v>
      </c>
      <c r="AG19" s="135" t="s">
        <v>11</v>
      </c>
      <c r="AH19" s="74">
        <f t="shared" ref="AH19:BB19" si="10">STDEVA(AH5:AH14)</f>
        <v>0.42163702135578385</v>
      </c>
      <c r="AI19" s="74">
        <f t="shared" si="10"/>
        <v>0.38164334169142111</v>
      </c>
      <c r="AJ19" s="74">
        <f t="shared" si="10"/>
        <v>0.34857236920190598</v>
      </c>
      <c r="AK19" s="74">
        <f t="shared" si="10"/>
        <v>0.25198589480702144</v>
      </c>
      <c r="AL19" s="74">
        <f t="shared" si="10"/>
        <v>0.23782983765558885</v>
      </c>
      <c r="AM19" s="74">
        <f t="shared" si="10"/>
        <v>0.19010044753623143</v>
      </c>
      <c r="AN19" s="74">
        <f t="shared" si="10"/>
        <v>0.14613294429229601</v>
      </c>
      <c r="AO19" s="74">
        <f t="shared" si="10"/>
        <v>0.1226088379312596</v>
      </c>
      <c r="AP19" s="74">
        <f t="shared" si="10"/>
        <v>9.730961795099323E-2</v>
      </c>
      <c r="AQ19" s="74">
        <f t="shared" si="10"/>
        <v>7.7786628902357768E-2</v>
      </c>
      <c r="AR19" s="74">
        <f t="shared" si="10"/>
        <v>6.4342451914929835E-2</v>
      </c>
      <c r="AS19" s="74">
        <f t="shared" si="10"/>
        <v>5.108424392845707E-2</v>
      </c>
      <c r="AT19" s="74">
        <f t="shared" si="10"/>
        <v>4.4977425780895926E-2</v>
      </c>
      <c r="AU19" s="74">
        <f t="shared" si="10"/>
        <v>3.7187045239473658E-2</v>
      </c>
      <c r="AV19" s="74">
        <f t="shared" si="10"/>
        <v>3.0731189029381229E-2</v>
      </c>
      <c r="AW19" s="74">
        <f t="shared" si="10"/>
        <v>2.4310433910284333E-2</v>
      </c>
      <c r="AX19" s="74">
        <f t="shared" si="10"/>
        <v>1.8677310771203777E-2</v>
      </c>
      <c r="AY19" s="74">
        <f t="shared" si="10"/>
        <v>0</v>
      </c>
      <c r="AZ19" s="74">
        <f t="shared" si="10"/>
        <v>0</v>
      </c>
      <c r="BA19" s="74">
        <f t="shared" si="10"/>
        <v>0</v>
      </c>
      <c r="BB19" s="74">
        <f t="shared" si="10"/>
        <v>0</v>
      </c>
      <c r="BC19" s="76"/>
    </row>
    <row r="20" spans="1:55" ht="15">
      <c r="A20" s="113"/>
      <c r="E20" s="52"/>
      <c r="I20" s="52"/>
      <c r="K20" s="133"/>
      <c r="AG20" s="133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148"/>
    </row>
    <row r="21" spans="1:55" ht="14.25" customHeight="1">
      <c r="A21" s="113"/>
      <c r="E21" s="118" t="str">
        <f>'AsPc1 REPEAT Groups'!C6</f>
        <v>AsPc-1 - Control</v>
      </c>
      <c r="I21" s="118" t="str">
        <f>E21</f>
        <v>AsPc-1 - Control</v>
      </c>
      <c r="J21" s="305">
        <f>AVERAGEIF($E$5:$E$14,$E21,J$5:J$14)</f>
        <v>0</v>
      </c>
      <c r="K21" s="248" t="s">
        <v>9</v>
      </c>
      <c r="L21" s="78">
        <f t="shared" ref="L21:AF21" si="11">AVERAGEIF($E$5:$E$14,$E21,L$5:L$14)</f>
        <v>0</v>
      </c>
      <c r="M21" s="78">
        <f t="shared" si="11"/>
        <v>0</v>
      </c>
      <c r="N21" s="78">
        <f t="shared" si="11"/>
        <v>0</v>
      </c>
      <c r="O21" s="78">
        <f t="shared" si="11"/>
        <v>0</v>
      </c>
      <c r="P21" s="78">
        <f t="shared" si="11"/>
        <v>0</v>
      </c>
      <c r="Q21" s="78">
        <f t="shared" si="11"/>
        <v>0</v>
      </c>
      <c r="R21" s="78">
        <f t="shared" si="11"/>
        <v>0</v>
      </c>
      <c r="S21" s="78">
        <f t="shared" si="11"/>
        <v>0</v>
      </c>
      <c r="T21" s="78">
        <f t="shared" si="11"/>
        <v>0</v>
      </c>
      <c r="U21" s="78">
        <f t="shared" si="11"/>
        <v>0</v>
      </c>
      <c r="V21" s="78">
        <f t="shared" si="11"/>
        <v>0</v>
      </c>
      <c r="W21" s="78">
        <f t="shared" si="11"/>
        <v>0</v>
      </c>
      <c r="X21" s="78">
        <f t="shared" si="11"/>
        <v>0</v>
      </c>
      <c r="Y21" s="78">
        <f t="shared" si="11"/>
        <v>0</v>
      </c>
      <c r="Z21" s="78">
        <f t="shared" si="11"/>
        <v>0</v>
      </c>
      <c r="AA21" s="78">
        <f t="shared" si="11"/>
        <v>0</v>
      </c>
      <c r="AB21" s="78">
        <f t="shared" si="11"/>
        <v>0</v>
      </c>
      <c r="AC21" s="78" t="e">
        <f t="shared" si="11"/>
        <v>#DIV/0!</v>
      </c>
      <c r="AD21" s="78" t="e">
        <f t="shared" si="11"/>
        <v>#DIV/0!</v>
      </c>
      <c r="AE21" s="78" t="e">
        <f t="shared" si="11"/>
        <v>#DIV/0!</v>
      </c>
      <c r="AF21" s="78" t="e">
        <f t="shared" si="11"/>
        <v>#DIV/0!</v>
      </c>
      <c r="AG21" s="136" t="s">
        <v>9</v>
      </c>
      <c r="AH21" s="73" t="e">
        <f t="shared" ref="AH21:BB21" si="12">AVERAGEIF($E$5:$E$14,$E21,AH$5:AH$14)</f>
        <v>#DIV/0!</v>
      </c>
      <c r="AI21" s="73" t="e">
        <f t="shared" si="12"/>
        <v>#DIV/0!</v>
      </c>
      <c r="AJ21" s="73" t="e">
        <f t="shared" si="12"/>
        <v>#DIV/0!</v>
      </c>
      <c r="AK21" s="73" t="e">
        <f t="shared" si="12"/>
        <v>#DIV/0!</v>
      </c>
      <c r="AL21" s="73" t="e">
        <f t="shared" si="12"/>
        <v>#DIV/0!</v>
      </c>
      <c r="AM21" s="73" t="e">
        <f t="shared" si="12"/>
        <v>#DIV/0!</v>
      </c>
      <c r="AN21" s="73" t="e">
        <f t="shared" si="12"/>
        <v>#DIV/0!</v>
      </c>
      <c r="AO21" s="73" t="e">
        <f t="shared" si="12"/>
        <v>#DIV/0!</v>
      </c>
      <c r="AP21" s="73" t="e">
        <f t="shared" si="12"/>
        <v>#DIV/0!</v>
      </c>
      <c r="AQ21" s="73" t="e">
        <f t="shared" si="12"/>
        <v>#DIV/0!</v>
      </c>
      <c r="AR21" s="73" t="e">
        <f t="shared" si="12"/>
        <v>#DIV/0!</v>
      </c>
      <c r="AS21" s="73" t="e">
        <f t="shared" si="12"/>
        <v>#DIV/0!</v>
      </c>
      <c r="AT21" s="73" t="e">
        <f t="shared" si="12"/>
        <v>#DIV/0!</v>
      </c>
      <c r="AU21" s="73" t="e">
        <f t="shared" si="12"/>
        <v>#DIV/0!</v>
      </c>
      <c r="AV21" s="73" t="e">
        <f t="shared" si="12"/>
        <v>#DIV/0!</v>
      </c>
      <c r="AW21" s="73" t="e">
        <f t="shared" si="12"/>
        <v>#DIV/0!</v>
      </c>
      <c r="AX21" s="73" t="e">
        <f t="shared" si="12"/>
        <v>#DIV/0!</v>
      </c>
      <c r="AY21" s="73" t="e">
        <f t="shared" si="12"/>
        <v>#DIV/0!</v>
      </c>
      <c r="AZ21" s="73" t="e">
        <f t="shared" si="12"/>
        <v>#DIV/0!</v>
      </c>
      <c r="BA21" s="73" t="e">
        <f t="shared" si="12"/>
        <v>#DIV/0!</v>
      </c>
      <c r="BB21" s="73" t="e">
        <f t="shared" si="12"/>
        <v>#DIV/0!</v>
      </c>
      <c r="BC21" s="76"/>
    </row>
    <row r="22" spans="1:55" ht="14.25" customHeight="1">
      <c r="A22" s="113"/>
      <c r="E22" s="93"/>
      <c r="I22" s="93"/>
      <c r="J22" s="305">
        <f t="array" ref="J22">_xlfn.STDEV.P(IF($E$5:$E$14=$E21,J$5:J$14))</f>
        <v>0</v>
      </c>
      <c r="K22" s="248" t="s">
        <v>11</v>
      </c>
      <c r="L22" s="81">
        <f t="array" ref="L22">_xlfn.STDEV.P(IF($E$5:$E$14=$E21,L$5:L$14))</f>
        <v>0</v>
      </c>
      <c r="M22" s="81">
        <f t="array" ref="M22">_xlfn.STDEV.P(IF($E$5:$E$14=$E21,M$5:M$14))</f>
        <v>0</v>
      </c>
      <c r="N22" s="81">
        <f t="array" ref="N22">_xlfn.STDEV.P(IF($E$5:$E$14=$E21,N$5:N$14))</f>
        <v>0</v>
      </c>
      <c r="O22" s="81">
        <f t="array" ref="O22">_xlfn.STDEV.P(IF($E$5:$E$14=$E21,O$5:O$14))</f>
        <v>0</v>
      </c>
      <c r="P22" s="81">
        <f t="array" ref="P22">_xlfn.STDEV.P(IF($E$5:$E$14=$E21,P$5:P$14))</f>
        <v>0</v>
      </c>
      <c r="Q22" s="81">
        <f t="array" ref="Q22">_xlfn.STDEV.P(IF($E$5:$E$14=$E21,Q$5:Q$14))</f>
        <v>0</v>
      </c>
      <c r="R22" s="81">
        <f t="array" ref="R22">_xlfn.STDEV.P(IF($E$5:$E$14=$E21,R$5:R$14))</f>
        <v>0</v>
      </c>
      <c r="S22" s="81">
        <f t="array" ref="S22">_xlfn.STDEV.P(IF($E$5:$E$14=$E21,S$5:S$14))</f>
        <v>0</v>
      </c>
      <c r="T22" s="81">
        <f t="array" ref="T22">_xlfn.STDEV.P(IF($E$5:$E$14=$E21,T$5:T$14))</f>
        <v>0</v>
      </c>
      <c r="U22" s="81">
        <f t="array" ref="U22">_xlfn.STDEV.P(IF($E$5:$E$14=$E21,U$5:U$14))</f>
        <v>0</v>
      </c>
      <c r="V22" s="81">
        <f t="array" ref="V22">_xlfn.STDEV.P(IF($E$5:$E$14=$E21,V$5:V$14))</f>
        <v>0</v>
      </c>
      <c r="W22" s="81">
        <f t="array" ref="W22">_xlfn.STDEV.P(IF($E$5:$E$14=$E21,W$5:W$14))</f>
        <v>0</v>
      </c>
      <c r="X22" s="81">
        <f t="array" ref="X22">_xlfn.STDEV.P(IF($E$5:$E$14=$E21,X$5:X$14))</f>
        <v>0</v>
      </c>
      <c r="Y22" s="81">
        <f t="array" ref="Y22">_xlfn.STDEV.P(IF($E$5:$E$14=$E21,Y$5:Y$14))</f>
        <v>0</v>
      </c>
      <c r="Z22" s="81">
        <f t="array" ref="Z22">_xlfn.STDEV.P(IF($E$5:$E$14=$E21,Z$5:Z$14))</f>
        <v>0</v>
      </c>
      <c r="AA22" s="81">
        <f t="array" ref="AA22">_xlfn.STDEV.P(IF($E$5:$E$14=$E21,AA$5:AA$14))</f>
        <v>0</v>
      </c>
      <c r="AB22" s="81">
        <f t="array" ref="AB22">_xlfn.STDEV.P(IF($E$5:$E$14=$E21,AB$5:AB$14))</f>
        <v>0</v>
      </c>
      <c r="AC22" s="81">
        <f t="array" ref="AC22">_xlfn.STDEV.P(IF($E$5:$E$14=$E21,AC$5:AC$14))</f>
        <v>0</v>
      </c>
      <c r="AD22" s="81">
        <f t="array" ref="AD22">_xlfn.STDEV.P(IF($E$5:$E$14=$E21,AD$5:AD$14))</f>
        <v>0</v>
      </c>
      <c r="AE22" s="81">
        <f t="array" ref="AE22">_xlfn.STDEV.P(IF($E$5:$E$14=$E21,AE$5:AE$14))</f>
        <v>0</v>
      </c>
      <c r="AF22" s="81">
        <f t="array" ref="AF22">_xlfn.STDEV.P(IF($E$5:$E$14=$E21,AF$5:AF$14))</f>
        <v>0</v>
      </c>
      <c r="AG22" s="137" t="s">
        <v>11</v>
      </c>
      <c r="AH22" s="74" t="e">
        <f t="array" ref="AH22">_xlfn.STDEV.P(IF($E$5:$E$14=$E21,AH$5:AH$14))</f>
        <v>#DIV/0!</v>
      </c>
      <c r="AI22" s="74" t="e">
        <f t="array" ref="AI22">_xlfn.STDEV.P(IF($E$5:$E$14=$E21,AI$5:AI$14))</f>
        <v>#DIV/0!</v>
      </c>
      <c r="AJ22" s="74" t="e">
        <f t="array" ref="AJ22">_xlfn.STDEV.P(IF($E$5:$E$14=$E21,AJ$5:AJ$14))</f>
        <v>#DIV/0!</v>
      </c>
      <c r="AK22" s="74" t="e">
        <f t="array" ref="AK22">_xlfn.STDEV.P(IF($E$5:$E$14=$E21,AK$5:AK$14))</f>
        <v>#DIV/0!</v>
      </c>
      <c r="AL22" s="74" t="e">
        <f t="array" ref="AL22">_xlfn.STDEV.P(IF($E$5:$E$14=$E21,AL$5:AL$14))</f>
        <v>#DIV/0!</v>
      </c>
      <c r="AM22" s="74" t="e">
        <f t="array" ref="AM22">_xlfn.STDEV.P(IF($E$5:$E$14=$E21,AM$5:AM$14))</f>
        <v>#DIV/0!</v>
      </c>
      <c r="AN22" s="74" t="e">
        <f t="array" ref="AN22">_xlfn.STDEV.P(IF($E$5:$E$14=$E21,AN$5:AN$14))</f>
        <v>#DIV/0!</v>
      </c>
      <c r="AO22" s="74" t="e">
        <f t="array" ref="AO22">_xlfn.STDEV.P(IF($E$5:$E$14=$E21,AO$5:AO$14))</f>
        <v>#DIV/0!</v>
      </c>
      <c r="AP22" s="74" t="e">
        <f t="array" ref="AP22">_xlfn.STDEV.P(IF($E$5:$E$14=$E21,AP$5:AP$14))</f>
        <v>#DIV/0!</v>
      </c>
      <c r="AQ22" s="74" t="e">
        <f t="array" ref="AQ22">_xlfn.STDEV.P(IF($E$5:$E$14=$E21,AQ$5:AQ$14))</f>
        <v>#DIV/0!</v>
      </c>
      <c r="AR22" s="74" t="e">
        <f t="array" ref="AR22">_xlfn.STDEV.P(IF($E$5:$E$14=$E21,AR$5:AR$14))</f>
        <v>#DIV/0!</v>
      </c>
      <c r="AS22" s="74" t="e">
        <f t="array" ref="AS22">_xlfn.STDEV.P(IF($E$5:$E$14=$E21,AS$5:AS$14))</f>
        <v>#DIV/0!</v>
      </c>
      <c r="AT22" s="74" t="e">
        <f t="array" ref="AT22">_xlfn.STDEV.P(IF($E$5:$E$14=$E21,AT$5:AT$14))</f>
        <v>#DIV/0!</v>
      </c>
      <c r="AU22" s="74" t="e">
        <f t="array" ref="AU22">_xlfn.STDEV.P(IF($E$5:$E$14=$E21,AU$5:AU$14))</f>
        <v>#DIV/0!</v>
      </c>
      <c r="AV22" s="74" t="e">
        <f t="array" ref="AV22">_xlfn.STDEV.P(IF($E$5:$E$14=$E21,AV$5:AV$14))</f>
        <v>#DIV/0!</v>
      </c>
      <c r="AW22" s="74" t="e">
        <f t="array" ref="AW22">_xlfn.STDEV.P(IF($E$5:$E$14=$E21,AW$5:AW$14))</f>
        <v>#DIV/0!</v>
      </c>
      <c r="AX22" s="74" t="e">
        <f t="array" ref="AX22">_xlfn.STDEV.P(IF($E$5:$E$14=$E21,AX$5:AX$14))</f>
        <v>#DIV/0!</v>
      </c>
      <c r="AY22" s="74">
        <f t="array" ref="AY22">_xlfn.STDEV.P(IF($E$5:$E$14=$E21,AY$5:AY$14))</f>
        <v>0</v>
      </c>
      <c r="AZ22" s="74">
        <f t="array" ref="AZ22">_xlfn.STDEV.P(IF($E$5:$E$14=$E21,AZ$5:AZ$14))</f>
        <v>0</v>
      </c>
      <c r="BA22" s="74" t="e">
        <f t="array" ref="BA22">_xlfn.STDEV.P(IF($E$5:$E$14=$E21,BA$5:BA$14))</f>
        <v>#DIV/0!</v>
      </c>
      <c r="BB22" s="74" t="e">
        <f t="array" ref="BB22">_xlfn.STDEV.P(IF($E$5:$E$14=$E21,BB$5:BB$14))</f>
        <v>#DIV/0!</v>
      </c>
      <c r="BC22" s="76"/>
    </row>
    <row r="23" spans="1:55" ht="14.25" customHeight="1">
      <c r="A23" s="113"/>
      <c r="E23" s="93"/>
      <c r="I23" s="93"/>
      <c r="J23" s="305"/>
      <c r="K23" s="131" t="s">
        <v>34</v>
      </c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131" t="s">
        <v>34</v>
      </c>
      <c r="AH23" s="73" t="e">
        <f>AH21-AH$16</f>
        <v>#DIV/0!</v>
      </c>
      <c r="AI23" s="73" t="e">
        <f>AI21-AI$16</f>
        <v>#DIV/0!</v>
      </c>
      <c r="AJ23" s="73" t="e">
        <f t="shared" ref="AJ23:AX23" si="13">AJ21-AJ$16</f>
        <v>#DIV/0!</v>
      </c>
      <c r="AK23" s="73" t="e">
        <f t="shared" si="13"/>
        <v>#DIV/0!</v>
      </c>
      <c r="AL23" s="73" t="e">
        <f t="shared" si="13"/>
        <v>#DIV/0!</v>
      </c>
      <c r="AM23" s="73" t="e">
        <f t="shared" si="13"/>
        <v>#DIV/0!</v>
      </c>
      <c r="AN23" s="73" t="e">
        <f t="shared" si="13"/>
        <v>#DIV/0!</v>
      </c>
      <c r="AO23" s="73" t="e">
        <f t="shared" si="13"/>
        <v>#DIV/0!</v>
      </c>
      <c r="AP23" s="73" t="e">
        <f t="shared" si="13"/>
        <v>#DIV/0!</v>
      </c>
      <c r="AQ23" s="73" t="e">
        <f t="shared" si="13"/>
        <v>#DIV/0!</v>
      </c>
      <c r="AR23" s="73" t="e">
        <f t="shared" si="13"/>
        <v>#DIV/0!</v>
      </c>
      <c r="AS23" s="73" t="e">
        <f t="shared" si="13"/>
        <v>#DIV/0!</v>
      </c>
      <c r="AT23" s="73" t="e">
        <f t="shared" si="13"/>
        <v>#DIV/0!</v>
      </c>
      <c r="AU23" s="73" t="e">
        <f t="shared" si="13"/>
        <v>#DIV/0!</v>
      </c>
      <c r="AV23" s="73" t="e">
        <f t="shared" si="13"/>
        <v>#DIV/0!</v>
      </c>
      <c r="AW23" s="73" t="e">
        <f t="shared" si="13"/>
        <v>#DIV/0!</v>
      </c>
      <c r="AX23" s="73" t="e">
        <f t="shared" si="13"/>
        <v>#DIV/0!</v>
      </c>
      <c r="AY23" s="73" t="e">
        <f>AY21-AY$16</f>
        <v>#DIV/0!</v>
      </c>
      <c r="AZ23" s="73" t="e">
        <f>AZ21-AZ$16</f>
        <v>#DIV/0!</v>
      </c>
      <c r="BA23" s="73" t="e">
        <f>BA21-BA$16</f>
        <v>#DIV/0!</v>
      </c>
      <c r="BB23" s="73" t="e">
        <f>BB21-BB$16</f>
        <v>#DIV/0!</v>
      </c>
      <c r="BC23" s="130"/>
    </row>
    <row r="24" spans="1:55" ht="14.25" customHeight="1">
      <c r="A24" s="113"/>
      <c r="E24" s="93"/>
      <c r="I24" s="93"/>
      <c r="J24" s="305"/>
      <c r="K24" s="105" t="s">
        <v>48</v>
      </c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105" t="s">
        <v>48</v>
      </c>
      <c r="AH24" s="73"/>
      <c r="AI24" s="73" t="e">
        <f>AH21*EXP((AI$4-AH$4)*-LN(2)/8.091)</f>
        <v>#DIV/0!</v>
      </c>
      <c r="AJ24" s="73" t="e">
        <f>AI21*EXP((AJ$4-AI$4)*-LN(2)/8.091)</f>
        <v>#DIV/0!</v>
      </c>
      <c r="AK24" s="73" t="e">
        <f t="shared" ref="AK24:AX24" si="14">AJ21*EXP((AK$4-AJ$4)*-LN(2)/8.091)</f>
        <v>#DIV/0!</v>
      </c>
      <c r="AL24" s="73" t="e">
        <f t="shared" si="14"/>
        <v>#DIV/0!</v>
      </c>
      <c r="AM24" s="73" t="e">
        <f t="shared" si="14"/>
        <v>#DIV/0!</v>
      </c>
      <c r="AN24" s="73" t="e">
        <f t="shared" si="14"/>
        <v>#DIV/0!</v>
      </c>
      <c r="AO24" s="73" t="e">
        <f t="shared" si="14"/>
        <v>#DIV/0!</v>
      </c>
      <c r="AP24" s="73" t="e">
        <f t="shared" si="14"/>
        <v>#DIV/0!</v>
      </c>
      <c r="AQ24" s="73" t="e">
        <f t="shared" si="14"/>
        <v>#DIV/0!</v>
      </c>
      <c r="AR24" s="73" t="e">
        <f t="shared" si="14"/>
        <v>#DIV/0!</v>
      </c>
      <c r="AS24" s="73" t="e">
        <f t="shared" si="14"/>
        <v>#DIV/0!</v>
      </c>
      <c r="AT24" s="73" t="e">
        <f t="shared" si="14"/>
        <v>#DIV/0!</v>
      </c>
      <c r="AU24" s="73" t="e">
        <f t="shared" si="14"/>
        <v>#DIV/0!</v>
      </c>
      <c r="AV24" s="73" t="e">
        <f t="shared" si="14"/>
        <v>#DIV/0!</v>
      </c>
      <c r="AW24" s="73" t="e">
        <f t="shared" si="14"/>
        <v>#DIV/0!</v>
      </c>
      <c r="AX24" s="73" t="e">
        <f t="shared" si="14"/>
        <v>#DIV/0!</v>
      </c>
      <c r="AY24" s="73" t="e">
        <f>AX21*EXP((AY$4-AX$4)*-LN(2)/8.091)</f>
        <v>#DIV/0!</v>
      </c>
      <c r="AZ24" s="73" t="e">
        <f>AY21*EXP((AZ$4-AY$4)*-LN(2)/8.091)</f>
        <v>#DIV/0!</v>
      </c>
      <c r="BA24" s="73" t="e">
        <f>AZ21*EXP((BA$4-AZ$4)*-LN(2)/8.091)</f>
        <v>#DIV/0!</v>
      </c>
      <c r="BB24" s="73" t="e">
        <f>BA21*EXP((BB$4-BA$4)*-LN(2)/8.091)</f>
        <v>#DIV/0!</v>
      </c>
      <c r="BC24" s="130"/>
    </row>
    <row r="25" spans="1:55" ht="14.25" customHeight="1">
      <c r="A25" s="113"/>
      <c r="E25" s="93"/>
      <c r="I25" s="93"/>
      <c r="J25" s="305"/>
      <c r="K25" s="105" t="s">
        <v>35</v>
      </c>
      <c r="L25" s="80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105" t="s">
        <v>35</v>
      </c>
      <c r="AH25" s="147"/>
      <c r="AI25" s="74" t="e">
        <f t="shared" ref="AI25:BB25" si="15">AI21-AI24</f>
        <v>#DIV/0!</v>
      </c>
      <c r="AJ25" s="74" t="e">
        <f t="shared" si="15"/>
        <v>#DIV/0!</v>
      </c>
      <c r="AK25" s="74" t="e">
        <f t="shared" si="15"/>
        <v>#DIV/0!</v>
      </c>
      <c r="AL25" s="74" t="e">
        <f t="shared" si="15"/>
        <v>#DIV/0!</v>
      </c>
      <c r="AM25" s="74" t="e">
        <f t="shared" si="15"/>
        <v>#DIV/0!</v>
      </c>
      <c r="AN25" s="74" t="e">
        <f t="shared" si="15"/>
        <v>#DIV/0!</v>
      </c>
      <c r="AO25" s="74" t="e">
        <f t="shared" si="15"/>
        <v>#DIV/0!</v>
      </c>
      <c r="AP25" s="74" t="e">
        <f t="shared" si="15"/>
        <v>#DIV/0!</v>
      </c>
      <c r="AQ25" s="74" t="e">
        <f t="shared" si="15"/>
        <v>#DIV/0!</v>
      </c>
      <c r="AR25" s="74" t="e">
        <f t="shared" si="15"/>
        <v>#DIV/0!</v>
      </c>
      <c r="AS25" s="74" t="e">
        <f t="shared" si="15"/>
        <v>#DIV/0!</v>
      </c>
      <c r="AT25" s="74" t="e">
        <f t="shared" si="15"/>
        <v>#DIV/0!</v>
      </c>
      <c r="AU25" s="74" t="e">
        <f t="shared" si="15"/>
        <v>#DIV/0!</v>
      </c>
      <c r="AV25" s="74" t="e">
        <f t="shared" si="15"/>
        <v>#DIV/0!</v>
      </c>
      <c r="AW25" s="74" t="e">
        <f t="shared" si="15"/>
        <v>#DIV/0!</v>
      </c>
      <c r="AX25" s="74" t="e">
        <f t="shared" si="15"/>
        <v>#DIV/0!</v>
      </c>
      <c r="AY25" s="74" t="e">
        <f t="shared" si="15"/>
        <v>#DIV/0!</v>
      </c>
      <c r="AZ25" s="74" t="e">
        <f t="shared" si="15"/>
        <v>#DIV/0!</v>
      </c>
      <c r="BA25" s="74" t="e">
        <f t="shared" si="15"/>
        <v>#DIV/0!</v>
      </c>
      <c r="BB25" s="74" t="e">
        <f t="shared" si="15"/>
        <v>#DIV/0!</v>
      </c>
      <c r="BC25" s="130"/>
    </row>
    <row r="26" spans="1:55" ht="14.25" customHeight="1">
      <c r="A26" s="113"/>
      <c r="E26" s="93"/>
      <c r="I26" s="93"/>
      <c r="J26" s="305"/>
      <c r="K26" s="105" t="s">
        <v>49</v>
      </c>
      <c r="L26" s="80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105" t="s">
        <v>49</v>
      </c>
      <c r="AH26" s="147" t="e">
        <f>AH21/AH$16</f>
        <v>#DIV/0!</v>
      </c>
      <c r="AI26" s="74" t="e">
        <f>AI21/AI$16</f>
        <v>#DIV/0!</v>
      </c>
      <c r="AJ26" s="74" t="e">
        <f>AJ21/AJ$16</f>
        <v>#DIV/0!</v>
      </c>
      <c r="AK26" s="74" t="e">
        <f t="shared" ref="AK26:AX26" si="16">AK21/AK$16</f>
        <v>#DIV/0!</v>
      </c>
      <c r="AL26" s="74" t="e">
        <f t="shared" si="16"/>
        <v>#DIV/0!</v>
      </c>
      <c r="AM26" s="74" t="e">
        <f t="shared" si="16"/>
        <v>#DIV/0!</v>
      </c>
      <c r="AN26" s="74" t="e">
        <f t="shared" si="16"/>
        <v>#DIV/0!</v>
      </c>
      <c r="AO26" s="74" t="e">
        <f t="shared" si="16"/>
        <v>#DIV/0!</v>
      </c>
      <c r="AP26" s="74" t="e">
        <f t="shared" si="16"/>
        <v>#DIV/0!</v>
      </c>
      <c r="AQ26" s="74" t="e">
        <f t="shared" si="16"/>
        <v>#DIV/0!</v>
      </c>
      <c r="AR26" s="74" t="e">
        <f t="shared" si="16"/>
        <v>#DIV/0!</v>
      </c>
      <c r="AS26" s="74" t="e">
        <f t="shared" si="16"/>
        <v>#DIV/0!</v>
      </c>
      <c r="AT26" s="74" t="e">
        <f t="shared" si="16"/>
        <v>#DIV/0!</v>
      </c>
      <c r="AU26" s="74" t="e">
        <f t="shared" si="16"/>
        <v>#DIV/0!</v>
      </c>
      <c r="AV26" s="74" t="e">
        <f t="shared" si="16"/>
        <v>#DIV/0!</v>
      </c>
      <c r="AW26" s="74" t="e">
        <f t="shared" si="16"/>
        <v>#DIV/0!</v>
      </c>
      <c r="AX26" s="74" t="e">
        <f t="shared" si="16"/>
        <v>#DIV/0!</v>
      </c>
      <c r="AY26" s="74" t="e">
        <f>AY21/AY$16</f>
        <v>#DIV/0!</v>
      </c>
      <c r="AZ26" s="74" t="e">
        <f>AZ21/AZ$16</f>
        <v>#DIV/0!</v>
      </c>
      <c r="BA26" s="74" t="e">
        <f>BA21/BA$16</f>
        <v>#DIV/0!</v>
      </c>
      <c r="BB26" s="74" t="e">
        <f>BB21/BB$16</f>
        <v>#DIV/0!</v>
      </c>
      <c r="BC26" s="130"/>
    </row>
    <row r="27" spans="1:55" ht="15">
      <c r="A27" s="113"/>
      <c r="E27" s="52"/>
      <c r="I27" s="52"/>
      <c r="K27" s="133"/>
      <c r="AG27" s="133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148"/>
    </row>
    <row r="28" spans="1:55" ht="14.25" customHeight="1">
      <c r="A28" s="113"/>
      <c r="E28" s="118" t="str">
        <f>'AsPc1 REPEAT Groups'!C7</f>
        <v>AsPc-1 - CP-PTX Combo</v>
      </c>
      <c r="I28" s="118" t="str">
        <f>E28</f>
        <v>AsPc-1 - CP-PTX Combo</v>
      </c>
      <c r="J28" s="305">
        <f>AVERAGEIF($E$5:$E$14,$E28,J$5:J$14)</f>
        <v>1141.5714285714287</v>
      </c>
      <c r="K28" s="248" t="s">
        <v>9</v>
      </c>
      <c r="L28" s="78">
        <f t="shared" ref="L28:AF28" si="17">AVERAGEIF($E$5:$E$14,$E28,L$5:L$14)</f>
        <v>1141.5714285714287</v>
      </c>
      <c r="M28" s="78">
        <f t="shared" si="17"/>
        <v>1027.7142857142858</v>
      </c>
      <c r="N28" s="78">
        <f t="shared" si="17"/>
        <v>943.14285714285711</v>
      </c>
      <c r="O28" s="78">
        <f t="shared" si="17"/>
        <v>681.71428571428567</v>
      </c>
      <c r="P28" s="78">
        <f t="shared" si="17"/>
        <v>560.14285714285711</v>
      </c>
      <c r="Q28" s="78">
        <f t="shared" si="17"/>
        <v>446.28571428571428</v>
      </c>
      <c r="R28" s="78">
        <f t="shared" si="17"/>
        <v>343.85714285714283</v>
      </c>
      <c r="S28" s="78">
        <f t="shared" si="17"/>
        <v>288.71428571428572</v>
      </c>
      <c r="T28" s="78">
        <f t="shared" si="17"/>
        <v>228.71428571428572</v>
      </c>
      <c r="U28" s="78">
        <f t="shared" si="17"/>
        <v>182.85714285714286</v>
      </c>
      <c r="V28" s="78">
        <f t="shared" si="17"/>
        <v>151.14285714285714</v>
      </c>
      <c r="W28" s="78">
        <f t="shared" si="17"/>
        <v>120.14285714285714</v>
      </c>
      <c r="X28" s="78">
        <f t="shared" si="17"/>
        <v>105.42857142857143</v>
      </c>
      <c r="Y28" s="78">
        <f t="shared" si="17"/>
        <v>87.285714285714292</v>
      </c>
      <c r="Z28" s="78">
        <f t="shared" si="17"/>
        <v>72.571428571428569</v>
      </c>
      <c r="AA28" s="78">
        <f t="shared" si="17"/>
        <v>56.428571428571431</v>
      </c>
      <c r="AB28" s="78">
        <f t="shared" si="17"/>
        <v>43.428571428571431</v>
      </c>
      <c r="AC28" s="78" t="e">
        <f t="shared" si="17"/>
        <v>#DIV/0!</v>
      </c>
      <c r="AD28" s="78" t="e">
        <f t="shared" si="17"/>
        <v>#DIV/0!</v>
      </c>
      <c r="AE28" s="78" t="e">
        <f t="shared" si="17"/>
        <v>#DIV/0!</v>
      </c>
      <c r="AF28" s="78" t="e">
        <f t="shared" si="17"/>
        <v>#DIV/0!</v>
      </c>
      <c r="AG28" s="136" t="s">
        <v>9</v>
      </c>
      <c r="AH28" s="73">
        <f t="shared" ref="AH28:BB28" si="18">AVERAGEIF($E$5:$E$14,$E28,AH$5:AH$14)</f>
        <v>1</v>
      </c>
      <c r="AI28" s="73">
        <f t="shared" si="18"/>
        <v>0.90310191356626368</v>
      </c>
      <c r="AJ28" s="73">
        <f t="shared" si="18"/>
        <v>0.82845309931746969</v>
      </c>
      <c r="AK28" s="73">
        <f t="shared" si="18"/>
        <v>0.5989504882399409</v>
      </c>
      <c r="AL28" s="73">
        <f t="shared" si="18"/>
        <v>0.49187214752313801</v>
      </c>
      <c r="AM28" s="73">
        <f t="shared" si="18"/>
        <v>0.39264714438781823</v>
      </c>
      <c r="AN28" s="73">
        <f t="shared" si="18"/>
        <v>0.30216331567679522</v>
      </c>
      <c r="AO28" s="73">
        <f t="shared" si="18"/>
        <v>0.25365260210409885</v>
      </c>
      <c r="AP28" s="73">
        <f t="shared" si="18"/>
        <v>0.20103660617968369</v>
      </c>
      <c r="AQ28" s="73">
        <f t="shared" si="18"/>
        <v>0.16072629968788071</v>
      </c>
      <c r="AR28" s="73">
        <f t="shared" si="18"/>
        <v>0.13290008207166218</v>
      </c>
      <c r="AS28" s="73">
        <f t="shared" si="18"/>
        <v>0.10555744878874883</v>
      </c>
      <c r="AT28" s="73">
        <f t="shared" si="18"/>
        <v>9.2809944211165313E-2</v>
      </c>
      <c r="AU28" s="73">
        <f t="shared" si="18"/>
        <v>7.6790396530946103E-2</v>
      </c>
      <c r="AV28" s="73">
        <f t="shared" si="18"/>
        <v>6.352565271208592E-2</v>
      </c>
      <c r="AW28" s="73">
        <f t="shared" si="18"/>
        <v>4.983668514533323E-2</v>
      </c>
      <c r="AX28" s="73">
        <f t="shared" si="18"/>
        <v>3.8350477336600595E-2</v>
      </c>
      <c r="AY28" s="73" t="e">
        <f t="shared" si="18"/>
        <v>#DIV/0!</v>
      </c>
      <c r="AZ28" s="73" t="e">
        <f t="shared" si="18"/>
        <v>#DIV/0!</v>
      </c>
      <c r="BA28" s="73" t="e">
        <f t="shared" si="18"/>
        <v>#DIV/0!</v>
      </c>
      <c r="BB28" s="73" t="e">
        <f t="shared" si="18"/>
        <v>#DIV/0!</v>
      </c>
      <c r="BC28" s="76"/>
    </row>
    <row r="29" spans="1:55" ht="14.25" customHeight="1">
      <c r="A29" s="113"/>
      <c r="E29" s="93"/>
      <c r="I29" s="93"/>
      <c r="J29" s="305">
        <f t="array" ref="J29">_xlfn.STDEV.P(IF($E$5:$E$14=$E28,J$5:J$14))</f>
        <v>174.86554601657087</v>
      </c>
      <c r="K29" s="248" t="s">
        <v>11</v>
      </c>
      <c r="L29" s="81">
        <f t="array" ref="L29">_xlfn.STDEV.P(IF($E$5:$E$14=$E28,L$5:L$14))</f>
        <v>174.86554601657087</v>
      </c>
      <c r="M29" s="81">
        <f t="array" ref="M29">_xlfn.STDEV.P(IF($E$5:$E$14=$E28,M$5:M$14))</f>
        <v>142.7732610877564</v>
      </c>
      <c r="N29" s="81">
        <f t="array" ref="N29">_xlfn.STDEV.P(IF($E$5:$E$14=$E28,N$5:N$14))</f>
        <v>128.98441608131091</v>
      </c>
      <c r="O29" s="81">
        <f t="array" ref="O29">_xlfn.STDEV.P(IF($E$5:$E$14=$E28,O$5:O$14))</f>
        <v>92.73574482014439</v>
      </c>
      <c r="P29" s="81">
        <f t="array" ref="P29">_xlfn.STDEV.P(IF($E$5:$E$14=$E28,P$5:P$14))</f>
        <v>78.550126982580949</v>
      </c>
      <c r="Q29" s="81">
        <f t="array" ref="Q29">_xlfn.STDEV.P(IF($E$5:$E$14=$E28,Q$5:Q$14))</f>
        <v>57.90068907982328</v>
      </c>
      <c r="R29" s="81">
        <f t="array" ref="R29">_xlfn.STDEV.P(IF($E$5:$E$14=$E28,R$5:R$14))</f>
        <v>46.544689957773983</v>
      </c>
      <c r="S29" s="81">
        <f t="array" ref="S29">_xlfn.STDEV.P(IF($E$5:$E$14=$E28,S$5:S$14))</f>
        <v>38.986130448493334</v>
      </c>
      <c r="T29" s="81">
        <f t="array" ref="T29">_xlfn.STDEV.P(IF($E$5:$E$14=$E28,T$5:T$14))</f>
        <v>31.047034759328287</v>
      </c>
      <c r="U29" s="81">
        <f t="array" ref="U29">_xlfn.STDEV.P(IF($E$5:$E$14=$E28,U$5:U$14))</f>
        <v>24.775728741933658</v>
      </c>
      <c r="V29" s="81">
        <f t="array" ref="V29">_xlfn.STDEV.P(IF($E$5:$E$14=$E28,V$5:V$14))</f>
        <v>20.216178609000774</v>
      </c>
      <c r="W29" s="81">
        <f t="array" ref="W29">_xlfn.STDEV.P(IF($E$5:$E$14=$E28,W$5:W$14))</f>
        <v>16.787993766197243</v>
      </c>
      <c r="X29" s="81">
        <f t="array" ref="X29">_xlfn.STDEV.P(IF($E$5:$E$14=$E28,X$5:X$14))</f>
        <v>13.478630100561224</v>
      </c>
      <c r="Y29" s="81">
        <f t="array" ref="Y29">_xlfn.STDEV.P(IF($E$5:$E$14=$E28,Y$5:Y$14))</f>
        <v>11.42321302954503</v>
      </c>
      <c r="Z29" s="81">
        <f t="array" ref="Z29">_xlfn.STDEV.P(IF($E$5:$E$14=$E28,Z$5:Z$14))</f>
        <v>11.38742593335979</v>
      </c>
      <c r="AA29" s="81">
        <f t="array" ref="AA29">_xlfn.STDEV.P(IF($E$5:$E$14=$E28,AA$5:AA$14))</f>
        <v>6.8213350778933268</v>
      </c>
      <c r="AB29" s="81">
        <f t="array" ref="AB29">_xlfn.STDEV.P(IF($E$5:$E$14=$E28,AB$5:AB$14))</f>
        <v>5.0668993859909142</v>
      </c>
      <c r="AC29" s="81">
        <f t="array" ref="AC29">_xlfn.STDEV.P(IF($E$5:$E$14=$E28,AC$5:AC$14))</f>
        <v>0</v>
      </c>
      <c r="AD29" s="81">
        <f t="array" ref="AD29">_xlfn.STDEV.P(IF($E$5:$E$14=$E28,AD$5:AD$14))</f>
        <v>0</v>
      </c>
      <c r="AE29" s="81">
        <f t="array" ref="AE29">_xlfn.STDEV.P(IF($E$5:$E$14=$E28,AE$5:AE$14))</f>
        <v>0</v>
      </c>
      <c r="AF29" s="81">
        <f t="array" ref="AF29">_xlfn.STDEV.P(IF($E$5:$E$14=$E28,AF$5:AF$14))</f>
        <v>0</v>
      </c>
      <c r="AG29" s="137" t="s">
        <v>11</v>
      </c>
      <c r="AH29" s="74">
        <f t="array" ref="AH29">_xlfn.STDEV.P(IF($E$5:$E$14=$E28,AH$5:AH$14))</f>
        <v>0</v>
      </c>
      <c r="AI29" s="74">
        <f t="array" ref="AI29">_xlfn.STDEV.P(IF($E$5:$E$14=$E28,AI$5:AI$14))</f>
        <v>3.7001148470171032E-2</v>
      </c>
      <c r="AJ29" s="74">
        <f t="array" ref="AJ29">_xlfn.STDEV.P(IF($E$5:$E$14=$E28,AJ$5:AJ$14))</f>
        <v>2.3834736708692749E-2</v>
      </c>
      <c r="AK29" s="74">
        <f t="array" ref="AK29">_xlfn.STDEV.P(IF($E$5:$E$14=$E28,AK$5:AK$14))</f>
        <v>1.6735362568509205E-2</v>
      </c>
      <c r="AL29" s="74">
        <f t="array" ref="AL29">_xlfn.STDEV.P(IF($E$5:$E$14=$E28,AL$5:AL$14))</f>
        <v>1.1934614390828982E-2</v>
      </c>
      <c r="AM29" s="74">
        <f t="array" ref="AM29">_xlfn.STDEV.P(IF($E$5:$E$14=$E28,AM$5:AM$14))</f>
        <v>1.4554740955010657E-2</v>
      </c>
      <c r="AN29" s="74">
        <f t="array" ref="AN29">_xlfn.STDEV.P(IF($E$5:$E$14=$E28,AN$5:AN$14))</f>
        <v>8.0881840814583973E-3</v>
      </c>
      <c r="AO29" s="74">
        <f t="array" ref="AO29">_xlfn.STDEV.P(IF($E$5:$E$14=$E28,AO$5:AO$14))</f>
        <v>5.1143340008571953E-3</v>
      </c>
      <c r="AP29" s="74">
        <f t="array" ref="AP29">_xlfn.STDEV.P(IF($E$5:$E$14=$E28,AP$5:AP$14))</f>
        <v>7.0655093942260886E-3</v>
      </c>
      <c r="AQ29" s="74">
        <f t="array" ref="AQ29">_xlfn.STDEV.P(IF($E$5:$E$14=$E28,AQ$5:AQ$14))</f>
        <v>5.4465658916595747E-3</v>
      </c>
      <c r="AR29" s="74">
        <f t="array" ref="AR29">_xlfn.STDEV.P(IF($E$5:$E$14=$E28,AR$5:AR$14))</f>
        <v>4.9055836270077771E-3</v>
      </c>
      <c r="AS29" s="74">
        <f t="array" ref="AS29">_xlfn.STDEV.P(IF($E$5:$E$14=$E28,AS$5:AS$14))</f>
        <v>3.5337618688736929E-3</v>
      </c>
      <c r="AT29" s="74">
        <f t="array" ref="AT29">_xlfn.STDEV.P(IF($E$5:$E$14=$E28,AT$5:AT$14))</f>
        <v>4.1053868005830902E-3</v>
      </c>
      <c r="AU29" s="74">
        <f t="array" ref="AU29">_xlfn.STDEV.P(IF($E$5:$E$14=$E28,AU$5:AU$14))</f>
        <v>2.9923832853732571E-3</v>
      </c>
      <c r="AV29" s="74">
        <f t="array" ref="AV29">_xlfn.STDEV.P(IF($E$5:$E$14=$E28,AV$5:AV$14))</f>
        <v>1.8930644918940588E-3</v>
      </c>
      <c r="AW29" s="74">
        <f t="array" ref="AW29">_xlfn.STDEV.P(IF($E$5:$E$14=$E28,AW$5:AW$14))</f>
        <v>3.8399196602283262E-3</v>
      </c>
      <c r="AX29" s="74">
        <f t="array" ref="AX29">_xlfn.STDEV.P(IF($E$5:$E$14=$E28,AX$5:AX$14))</f>
        <v>2.6987643657363229E-3</v>
      </c>
      <c r="AY29" s="74">
        <f t="array" ref="AY29">_xlfn.STDEV.P(IF($E$5:$E$14=$E28,AY$5:AY$14))</f>
        <v>0</v>
      </c>
      <c r="AZ29" s="74">
        <f t="array" ref="AZ29">_xlfn.STDEV.P(IF($E$5:$E$14=$E28,AZ$5:AZ$14))</f>
        <v>0</v>
      </c>
      <c r="BA29" s="74" t="e">
        <f t="array" ref="BA29">_xlfn.STDEV.P(IF($E$5:$E$14=$E28,BA$5:BA$14))</f>
        <v>#DIV/0!</v>
      </c>
      <c r="BB29" s="74" t="e">
        <f t="array" ref="BB29">_xlfn.STDEV.P(IF($E$5:$E$14=$E28,BB$5:BB$14))</f>
        <v>#DIV/0!</v>
      </c>
      <c r="BC29" s="76"/>
    </row>
    <row r="30" spans="1:55" ht="14.25" customHeight="1">
      <c r="A30" s="113"/>
      <c r="E30" s="93"/>
      <c r="I30" s="93"/>
      <c r="J30" s="305"/>
      <c r="K30" s="131" t="s">
        <v>34</v>
      </c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131" t="s">
        <v>34</v>
      </c>
      <c r="AH30" s="73">
        <f>AH28-AH$16</f>
        <v>0</v>
      </c>
      <c r="AI30" s="73">
        <f>AI28-AI$16</f>
        <v>-1.4097321203165869E-2</v>
      </c>
      <c r="AJ30" s="73">
        <f t="shared" ref="AJ30:AX30" si="19">AJ28-AJ$16</f>
        <v>-1.2801336944157415E-2</v>
      </c>
      <c r="AK30" s="73">
        <f t="shared" si="19"/>
        <v>-5.0159689332672008E-2</v>
      </c>
      <c r="AL30" s="73">
        <f t="shared" si="19"/>
        <v>-5.4194668982395111E-2</v>
      </c>
      <c r="AM30" s="73">
        <f t="shared" si="19"/>
        <v>-6.6733987492725466E-2</v>
      </c>
      <c r="AN30" s="73">
        <f t="shared" si="19"/>
        <v>-5.229421255162281E-2</v>
      </c>
      <c r="AO30" s="73">
        <f t="shared" si="19"/>
        <v>-4.4536365984388759E-2</v>
      </c>
      <c r="AP30" s="73">
        <f t="shared" si="19"/>
        <v>-4.9816186069033236E-2</v>
      </c>
      <c r="AQ30" s="73">
        <f t="shared" si="19"/>
        <v>-3.2831194338231645E-2</v>
      </c>
      <c r="AR30" s="73">
        <f t="shared" si="19"/>
        <v>-2.9931018449488228E-2</v>
      </c>
      <c r="AS30" s="73">
        <f t="shared" si="19"/>
        <v>-3.1424936886031887E-2</v>
      </c>
      <c r="AT30" s="73">
        <f t="shared" si="19"/>
        <v>-2.2427095427445143E-2</v>
      </c>
      <c r="AU30" s="73">
        <f t="shared" si="19"/>
        <v>-2.0153274286691905E-2</v>
      </c>
      <c r="AV30" s="73">
        <f t="shared" si="19"/>
        <v>-1.8028640430738888E-2</v>
      </c>
      <c r="AW30" s="73">
        <f t="shared" si="19"/>
        <v>-1.3090438233644718E-2</v>
      </c>
      <c r="AX30" s="73">
        <f t="shared" si="19"/>
        <v>-1.0203960500514052E-2</v>
      </c>
      <c r="AY30" s="73" t="e">
        <f>AY28-AY$16</f>
        <v>#DIV/0!</v>
      </c>
      <c r="AZ30" s="73" t="e">
        <f>AZ28-AZ$16</f>
        <v>#DIV/0!</v>
      </c>
      <c r="BA30" s="73" t="e">
        <f>BA28-BA$16</f>
        <v>#DIV/0!</v>
      </c>
      <c r="BB30" s="73" t="e">
        <f>BB28-BB$16</f>
        <v>#DIV/0!</v>
      </c>
      <c r="BC30" s="130"/>
    </row>
    <row r="31" spans="1:55" ht="14.25" customHeight="1">
      <c r="A31" s="113"/>
      <c r="E31" s="93"/>
      <c r="I31" s="93"/>
      <c r="J31" s="305"/>
      <c r="K31" s="105" t="s">
        <v>48</v>
      </c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105" t="s">
        <v>48</v>
      </c>
      <c r="AH31" s="73"/>
      <c r="AI31" s="73">
        <f>AH28*EXP((AI$4-AH$4)*-LN(2)/8.091)</f>
        <v>0.91789808441829013</v>
      </c>
      <c r="AJ31" s="73">
        <f>AI28*EXP((AJ$4-AI$4)*-LN(2)/8.091)</f>
        <v>0.82895551649696564</v>
      </c>
      <c r="AK31" s="73">
        <f t="shared" ref="AK31:AX31" si="20">AJ28*EXP((AK$4-AJ$4)*-LN(2)/8.091)</f>
        <v>0.64069497464851621</v>
      </c>
      <c r="AL31" s="73">
        <f t="shared" si="20"/>
        <v>0.50463788364937523</v>
      </c>
      <c r="AM31" s="73">
        <f t="shared" si="20"/>
        <v>0.41442043111368704</v>
      </c>
      <c r="AN31" s="73">
        <f t="shared" si="20"/>
        <v>0.30365877371527944</v>
      </c>
      <c r="AO31" s="73">
        <f t="shared" si="20"/>
        <v>0.25458374128335459</v>
      </c>
      <c r="AP31" s="73">
        <f t="shared" si="20"/>
        <v>0.21371167537422781</v>
      </c>
      <c r="AQ31" s="73">
        <f t="shared" si="20"/>
        <v>0.15547427296226193</v>
      </c>
      <c r="AR31" s="73">
        <f t="shared" si="20"/>
        <v>0.13541783722329162</v>
      </c>
      <c r="AS31" s="73">
        <f t="shared" si="20"/>
        <v>0.11197322227844135</v>
      </c>
      <c r="AT31" s="73">
        <f t="shared" si="20"/>
        <v>8.8936044975460676E-2</v>
      </c>
      <c r="AU31" s="73">
        <f t="shared" si="20"/>
        <v>7.819580207033186E-2</v>
      </c>
      <c r="AV31" s="73">
        <f t="shared" si="20"/>
        <v>6.4698742134506937E-2</v>
      </c>
      <c r="AW31" s="73">
        <f t="shared" si="20"/>
        <v>4.9128389389130112E-2</v>
      </c>
      <c r="AX31" s="73">
        <f t="shared" si="20"/>
        <v>3.8541848358176624E-2</v>
      </c>
      <c r="AY31" s="73" t="e">
        <f>AX28*EXP((AY$4-AX$4)*-LN(2)/8.091)</f>
        <v>#VALUE!</v>
      </c>
      <c r="AZ31" s="73" t="e">
        <f>AY28*EXP((AZ$4-AY$4)*-LN(2)/8.091)</f>
        <v>#DIV/0!</v>
      </c>
      <c r="BA31" s="73" t="e">
        <f>AZ28*EXP((BA$4-AZ$4)*-LN(2)/8.091)</f>
        <v>#DIV/0!</v>
      </c>
      <c r="BB31" s="73" t="e">
        <f>BA28*EXP((BB$4-BA$4)*-LN(2)/8.091)</f>
        <v>#DIV/0!</v>
      </c>
      <c r="BC31" s="130"/>
    </row>
    <row r="32" spans="1:55" ht="14.25" customHeight="1">
      <c r="A32" s="113"/>
      <c r="E32" s="93"/>
      <c r="I32" s="93"/>
      <c r="J32" s="305"/>
      <c r="K32" s="105" t="s">
        <v>35</v>
      </c>
      <c r="L32" s="80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105" t="s">
        <v>35</v>
      </c>
      <c r="AH32" s="147"/>
      <c r="AI32" s="74">
        <f t="shared" ref="AI32:BB32" si="21">AI28-AI31</f>
        <v>-1.4796170852026447E-2</v>
      </c>
      <c r="AJ32" s="74">
        <f t="shared" si="21"/>
        <v>-5.0241717949595088E-4</v>
      </c>
      <c r="AK32" s="74">
        <f t="shared" si="21"/>
        <v>-4.174448640857531E-2</v>
      </c>
      <c r="AL32" s="74">
        <f t="shared" si="21"/>
        <v>-1.2765736126237215E-2</v>
      </c>
      <c r="AM32" s="74">
        <f t="shared" si="21"/>
        <v>-2.1773286725868812E-2</v>
      </c>
      <c r="AN32" s="74">
        <f t="shared" si="21"/>
        <v>-1.4954580384842209E-3</v>
      </c>
      <c r="AO32" s="74">
        <f t="shared" si="21"/>
        <v>-9.3113917925574663E-4</v>
      </c>
      <c r="AP32" s="74">
        <f t="shared" si="21"/>
        <v>-1.2675069194544114E-2</v>
      </c>
      <c r="AQ32" s="74">
        <f t="shared" si="21"/>
        <v>5.2520267256187803E-3</v>
      </c>
      <c r="AR32" s="74">
        <f t="shared" si="21"/>
        <v>-2.5177551516294416E-3</v>
      </c>
      <c r="AS32" s="74">
        <f t="shared" si="21"/>
        <v>-6.4157734896925223E-3</v>
      </c>
      <c r="AT32" s="74">
        <f t="shared" si="21"/>
        <v>3.8738992357046365E-3</v>
      </c>
      <c r="AU32" s="74">
        <f t="shared" si="21"/>
        <v>-1.4054055393857567E-3</v>
      </c>
      <c r="AV32" s="74">
        <f t="shared" si="21"/>
        <v>-1.173089422421017E-3</v>
      </c>
      <c r="AW32" s="74">
        <f t="shared" si="21"/>
        <v>7.0829575620311863E-4</v>
      </c>
      <c r="AX32" s="74">
        <f t="shared" si="21"/>
        <v>-1.9137102157602837E-4</v>
      </c>
      <c r="AY32" s="74" t="e">
        <f t="shared" si="21"/>
        <v>#DIV/0!</v>
      </c>
      <c r="AZ32" s="74" t="e">
        <f t="shared" si="21"/>
        <v>#DIV/0!</v>
      </c>
      <c r="BA32" s="74" t="e">
        <f t="shared" si="21"/>
        <v>#DIV/0!</v>
      </c>
      <c r="BB32" s="74" t="e">
        <f t="shared" si="21"/>
        <v>#DIV/0!</v>
      </c>
      <c r="BC32" s="130"/>
    </row>
    <row r="33" spans="1:55" ht="14.25" customHeight="1">
      <c r="A33" s="113"/>
      <c r="E33" s="93"/>
      <c r="I33" s="93"/>
      <c r="J33" s="305"/>
      <c r="K33" s="105" t="s">
        <v>49</v>
      </c>
      <c r="L33" s="80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105" t="s">
        <v>49</v>
      </c>
      <c r="AH33" s="147">
        <f>AH28/AH$16</f>
        <v>1</v>
      </c>
      <c r="AI33" s="74">
        <f>AI28/AI$16</f>
        <v>0.98463003383696701</v>
      </c>
      <c r="AJ33" s="74">
        <f>AJ28/AJ$16</f>
        <v>0.9847830378154746</v>
      </c>
      <c r="AK33" s="74">
        <f t="shared" ref="AK33:AX33" si="22">AK28/AK$16</f>
        <v>0.92272546161539593</v>
      </c>
      <c r="AL33" s="74">
        <f t="shared" si="22"/>
        <v>0.9007545096235563</v>
      </c>
      <c r="AM33" s="74">
        <f t="shared" si="22"/>
        <v>0.8547306738099143</v>
      </c>
      <c r="AN33" s="74">
        <f t="shared" si="22"/>
        <v>0.85246691525218898</v>
      </c>
      <c r="AO33" s="74">
        <f t="shared" si="22"/>
        <v>0.85064381734212047</v>
      </c>
      <c r="AP33" s="74">
        <f t="shared" si="22"/>
        <v>0.80141267066446997</v>
      </c>
      <c r="AQ33" s="74">
        <f t="shared" si="22"/>
        <v>0.8303801436187096</v>
      </c>
      <c r="AR33" s="74">
        <f t="shared" si="22"/>
        <v>0.81618365070498045</v>
      </c>
      <c r="AS33" s="74">
        <f t="shared" si="22"/>
        <v>0.77059140318493224</v>
      </c>
      <c r="AT33" s="74">
        <f t="shared" si="22"/>
        <v>0.80538292637699027</v>
      </c>
      <c r="AU33" s="74">
        <f t="shared" si="22"/>
        <v>0.79211356330211091</v>
      </c>
      <c r="AV33" s="74">
        <f t="shared" si="22"/>
        <v>0.77893695431624177</v>
      </c>
      <c r="AW33" s="74">
        <f t="shared" si="22"/>
        <v>0.79197462825675835</v>
      </c>
      <c r="AX33" s="74">
        <f t="shared" si="22"/>
        <v>0.78984494610471589</v>
      </c>
      <c r="AY33" s="74" t="e">
        <f>AY28/AY$16</f>
        <v>#DIV/0!</v>
      </c>
      <c r="AZ33" s="74" t="e">
        <f>AZ28/AZ$16</f>
        <v>#DIV/0!</v>
      </c>
      <c r="BA33" s="74" t="e">
        <f>BA28/BA$16</f>
        <v>#DIV/0!</v>
      </c>
      <c r="BB33" s="74" t="e">
        <f>BB28/BB$16</f>
        <v>#DIV/0!</v>
      </c>
      <c r="BC33" s="130"/>
    </row>
    <row r="34" spans="1:55" ht="15">
      <c r="A34" s="113"/>
      <c r="E34" s="52"/>
      <c r="I34" s="52"/>
      <c r="K34" s="133"/>
      <c r="AG34" s="133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148"/>
    </row>
    <row r="35" spans="1:55" ht="15">
      <c r="A35" s="113"/>
      <c r="E35" s="52"/>
      <c r="I35" s="52"/>
      <c r="K35" s="133"/>
      <c r="AG35" s="133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148"/>
    </row>
    <row r="36" spans="1:55" ht="14.25" customHeight="1">
      <c r="A36" s="113"/>
      <c r="E36" s="118" t="str">
        <f>'AsPc1 REPEAT Groups'!C8</f>
        <v>Excluded</v>
      </c>
      <c r="I36" s="118" t="str">
        <f>E36</f>
        <v>Excluded</v>
      </c>
      <c r="J36" s="305">
        <f>AVERAGEIF($E$5:$E$14,$E36,J$5:J$14)</f>
        <v>997</v>
      </c>
      <c r="K36" s="248" t="s">
        <v>9</v>
      </c>
      <c r="L36" s="78">
        <f t="shared" ref="L36:AF36" si="23">AVERAGEIF($E$5:$E$14,$E36,L$5:L$14)</f>
        <v>997</v>
      </c>
      <c r="M36" s="78">
        <f t="shared" si="23"/>
        <v>890</v>
      </c>
      <c r="N36" s="78">
        <f t="shared" si="23"/>
        <v>798</v>
      </c>
      <c r="O36" s="78">
        <f t="shared" si="23"/>
        <v>577</v>
      </c>
      <c r="P36" s="78" t="e">
        <f t="shared" si="23"/>
        <v>#DIV/0!</v>
      </c>
      <c r="Q36" s="78" t="e">
        <f t="shared" si="23"/>
        <v>#DIV/0!</v>
      </c>
      <c r="R36" s="78" t="e">
        <f t="shared" si="23"/>
        <v>#DIV/0!</v>
      </c>
      <c r="S36" s="78" t="e">
        <f t="shared" si="23"/>
        <v>#DIV/0!</v>
      </c>
      <c r="T36" s="78" t="e">
        <f t="shared" si="23"/>
        <v>#DIV/0!</v>
      </c>
      <c r="U36" s="78" t="e">
        <f t="shared" si="23"/>
        <v>#DIV/0!</v>
      </c>
      <c r="V36" s="78" t="e">
        <f t="shared" si="23"/>
        <v>#DIV/0!</v>
      </c>
      <c r="W36" s="78" t="e">
        <f t="shared" si="23"/>
        <v>#DIV/0!</v>
      </c>
      <c r="X36" s="78" t="e">
        <f t="shared" si="23"/>
        <v>#DIV/0!</v>
      </c>
      <c r="Y36" s="78" t="e">
        <f t="shared" si="23"/>
        <v>#DIV/0!</v>
      </c>
      <c r="Z36" s="78" t="e">
        <f t="shared" si="23"/>
        <v>#DIV/0!</v>
      </c>
      <c r="AA36" s="78" t="e">
        <f t="shared" si="23"/>
        <v>#DIV/0!</v>
      </c>
      <c r="AB36" s="78" t="e">
        <f t="shared" si="23"/>
        <v>#DIV/0!</v>
      </c>
      <c r="AC36" s="78" t="e">
        <f t="shared" si="23"/>
        <v>#DIV/0!</v>
      </c>
      <c r="AD36" s="78" t="e">
        <f t="shared" si="23"/>
        <v>#DIV/0!</v>
      </c>
      <c r="AE36" s="78" t="e">
        <f t="shared" si="23"/>
        <v>#DIV/0!</v>
      </c>
      <c r="AF36" s="78" t="e">
        <f t="shared" si="23"/>
        <v>#DIV/0!</v>
      </c>
      <c r="AG36" s="136" t="s">
        <v>9</v>
      </c>
      <c r="AH36" s="73">
        <f t="shared" ref="AH36:BB36" si="24">AVERAGEIF($E$5:$E$14,$E36,AH$5:AH$14)</f>
        <v>1</v>
      </c>
      <c r="AI36" s="73">
        <f t="shared" si="24"/>
        <v>0.89267803410230695</v>
      </c>
      <c r="AJ36" s="73">
        <f t="shared" si="24"/>
        <v>0.80040120361083245</v>
      </c>
      <c r="AK36" s="73">
        <f t="shared" si="24"/>
        <v>0.5787362086258776</v>
      </c>
      <c r="AL36" s="73" t="e">
        <f t="shared" si="24"/>
        <v>#DIV/0!</v>
      </c>
      <c r="AM36" s="73" t="e">
        <f t="shared" si="24"/>
        <v>#DIV/0!</v>
      </c>
      <c r="AN36" s="73" t="e">
        <f t="shared" si="24"/>
        <v>#DIV/0!</v>
      </c>
      <c r="AO36" s="73" t="e">
        <f t="shared" si="24"/>
        <v>#DIV/0!</v>
      </c>
      <c r="AP36" s="73" t="e">
        <f t="shared" si="24"/>
        <v>#DIV/0!</v>
      </c>
      <c r="AQ36" s="73" t="e">
        <f t="shared" si="24"/>
        <v>#DIV/0!</v>
      </c>
      <c r="AR36" s="73" t="e">
        <f t="shared" si="24"/>
        <v>#DIV/0!</v>
      </c>
      <c r="AS36" s="73" t="e">
        <f t="shared" si="24"/>
        <v>#DIV/0!</v>
      </c>
      <c r="AT36" s="73" t="e">
        <f t="shared" si="24"/>
        <v>#DIV/0!</v>
      </c>
      <c r="AU36" s="73" t="e">
        <f t="shared" si="24"/>
        <v>#DIV/0!</v>
      </c>
      <c r="AV36" s="73" t="e">
        <f t="shared" si="24"/>
        <v>#DIV/0!</v>
      </c>
      <c r="AW36" s="73" t="e">
        <f t="shared" si="24"/>
        <v>#DIV/0!</v>
      </c>
      <c r="AX36" s="73" t="e">
        <f t="shared" si="24"/>
        <v>#DIV/0!</v>
      </c>
      <c r="AY36" s="73" t="e">
        <f t="shared" si="24"/>
        <v>#DIV/0!</v>
      </c>
      <c r="AZ36" s="73" t="e">
        <f t="shared" si="24"/>
        <v>#DIV/0!</v>
      </c>
      <c r="BA36" s="73" t="e">
        <f t="shared" si="24"/>
        <v>#DIV/0!</v>
      </c>
      <c r="BB36" s="73" t="e">
        <f t="shared" si="24"/>
        <v>#DIV/0!</v>
      </c>
      <c r="BC36" s="76"/>
    </row>
    <row r="37" spans="1:55" ht="14.25" customHeight="1">
      <c r="A37" s="113"/>
      <c r="E37" s="93"/>
      <c r="I37" s="93"/>
      <c r="J37" s="305">
        <f t="array" ref="J37">_xlfn.STDEV.P(IF($E$5:$E$14=$E36,J$5:J$14))</f>
        <v>0</v>
      </c>
      <c r="K37" s="248" t="s">
        <v>11</v>
      </c>
      <c r="L37" s="81">
        <f t="array" ref="L37">_xlfn.STDEV.P(IF($E$5:$E$14=$E36,L$5:L$14))</f>
        <v>0</v>
      </c>
      <c r="M37" s="81">
        <f t="array" ref="M37">_xlfn.STDEV.P(IF($E$5:$E$14=$E36,M$5:M$14))</f>
        <v>0</v>
      </c>
      <c r="N37" s="81">
        <f t="array" ref="N37">_xlfn.STDEV.P(IF($E$5:$E$14=$E36,N$5:N$14))</f>
        <v>0</v>
      </c>
      <c r="O37" s="81">
        <f t="array" ref="O37">_xlfn.STDEV.P(IF($E$5:$E$14=$E36,O$5:O$14))</f>
        <v>0</v>
      </c>
      <c r="P37" s="81">
        <f t="array" ref="P37">_xlfn.STDEV.P(IF($E$5:$E$14=$E36,P$5:P$14))</f>
        <v>0</v>
      </c>
      <c r="Q37" s="81">
        <f t="array" ref="Q37">_xlfn.STDEV.P(IF($E$5:$E$14=$E36,Q$5:Q$14))</f>
        <v>0</v>
      </c>
      <c r="R37" s="81">
        <f t="array" ref="R37">_xlfn.STDEV.P(IF($E$5:$E$14=$E36,R$5:R$14))</f>
        <v>0</v>
      </c>
      <c r="S37" s="81">
        <f t="array" ref="S37">_xlfn.STDEV.P(IF($E$5:$E$14=$E36,S$5:S$14))</f>
        <v>0</v>
      </c>
      <c r="T37" s="81">
        <f t="array" ref="T37">_xlfn.STDEV.P(IF($E$5:$E$14=$E36,T$5:T$14))</f>
        <v>0</v>
      </c>
      <c r="U37" s="81">
        <f t="array" ref="U37">_xlfn.STDEV.P(IF($E$5:$E$14=$E36,U$5:U$14))</f>
        <v>0</v>
      </c>
      <c r="V37" s="81">
        <f t="array" ref="V37">_xlfn.STDEV.P(IF($E$5:$E$14=$E36,V$5:V$14))</f>
        <v>0</v>
      </c>
      <c r="W37" s="81">
        <f t="array" ref="W37">_xlfn.STDEV.P(IF($E$5:$E$14=$E36,W$5:W$14))</f>
        <v>0</v>
      </c>
      <c r="X37" s="81">
        <f t="array" ref="X37">_xlfn.STDEV.P(IF($E$5:$E$14=$E36,X$5:X$14))</f>
        <v>0</v>
      </c>
      <c r="Y37" s="81">
        <f t="array" ref="Y37">_xlfn.STDEV.P(IF($E$5:$E$14=$E36,Y$5:Y$14))</f>
        <v>0</v>
      </c>
      <c r="Z37" s="81">
        <f t="array" ref="Z37">_xlfn.STDEV.P(IF($E$5:$E$14=$E36,Z$5:Z$14))</f>
        <v>0</v>
      </c>
      <c r="AA37" s="81">
        <f t="array" ref="AA37">_xlfn.STDEV.P(IF($E$5:$E$14=$E36,AA$5:AA$14))</f>
        <v>0</v>
      </c>
      <c r="AB37" s="81">
        <f t="array" ref="AB37">_xlfn.STDEV.P(IF($E$5:$E$14=$E36,AB$5:AB$14))</f>
        <v>0</v>
      </c>
      <c r="AC37" s="81">
        <f t="array" ref="AC37">_xlfn.STDEV.P(IF($E$5:$E$14=$E36,AC$5:AC$14))</f>
        <v>0</v>
      </c>
      <c r="AD37" s="81">
        <f t="array" ref="AD37">_xlfn.STDEV.P(IF($E$5:$E$14=$E36,AD$5:AD$14))</f>
        <v>0</v>
      </c>
      <c r="AE37" s="81">
        <f t="array" ref="AE37">_xlfn.STDEV.P(IF($E$5:$E$14=$E36,AE$5:AE$14))</f>
        <v>0</v>
      </c>
      <c r="AF37" s="81">
        <f t="array" ref="AF37">_xlfn.STDEV.P(IF($E$5:$E$14=$E36,AF$5:AF$14))</f>
        <v>0</v>
      </c>
      <c r="AG37" s="137" t="s">
        <v>11</v>
      </c>
      <c r="AH37" s="74">
        <f t="array" ref="AH37">_xlfn.STDEV.P(IF($E$5:$E$14=$E36,AH$5:AH$14))</f>
        <v>0</v>
      </c>
      <c r="AI37" s="74">
        <f t="array" ref="AI37">_xlfn.STDEV.P(IF($E$5:$E$14=$E36,AI$5:AI$14))</f>
        <v>0</v>
      </c>
      <c r="AJ37" s="74">
        <f t="array" ref="AJ37">_xlfn.STDEV.P(IF($E$5:$E$14=$E36,AJ$5:AJ$14))</f>
        <v>0</v>
      </c>
      <c r="AK37" s="74">
        <f t="array" ref="AK37">_xlfn.STDEV.P(IF($E$5:$E$14=$E36,AK$5:AK$14))</f>
        <v>0</v>
      </c>
      <c r="AL37" s="74" t="e">
        <f t="array" ref="AL37">_xlfn.STDEV.P(IF($E$5:$E$14=$E36,AL$5:AL$14))</f>
        <v>#DIV/0!</v>
      </c>
      <c r="AM37" s="74" t="e">
        <f t="array" ref="AM37">_xlfn.STDEV.P(IF($E$5:$E$14=$E36,AM$5:AM$14))</f>
        <v>#DIV/0!</v>
      </c>
      <c r="AN37" s="74" t="e">
        <f t="array" ref="AN37">_xlfn.STDEV.P(IF($E$5:$E$14=$E36,AN$5:AN$14))</f>
        <v>#DIV/0!</v>
      </c>
      <c r="AO37" s="74" t="e">
        <f t="array" ref="AO37">_xlfn.STDEV.P(IF($E$5:$E$14=$E36,AO$5:AO$14))</f>
        <v>#DIV/0!</v>
      </c>
      <c r="AP37" s="74" t="e">
        <f t="array" ref="AP37">_xlfn.STDEV.P(IF($E$5:$E$14=$E36,AP$5:AP$14))</f>
        <v>#DIV/0!</v>
      </c>
      <c r="AQ37" s="74" t="e">
        <f t="array" ref="AQ37">_xlfn.STDEV.P(IF($E$5:$E$14=$E36,AQ$5:AQ$14))</f>
        <v>#DIV/0!</v>
      </c>
      <c r="AR37" s="74" t="e">
        <f t="array" ref="AR37">_xlfn.STDEV.P(IF($E$5:$E$14=$E36,AR$5:AR$14))</f>
        <v>#DIV/0!</v>
      </c>
      <c r="AS37" s="74" t="e">
        <f t="array" ref="AS37">_xlfn.STDEV.P(IF($E$5:$E$14=$E36,AS$5:AS$14))</f>
        <v>#DIV/0!</v>
      </c>
      <c r="AT37" s="74" t="e">
        <f t="array" ref="AT37">_xlfn.STDEV.P(IF($E$5:$E$14=$E36,AT$5:AT$14))</f>
        <v>#DIV/0!</v>
      </c>
      <c r="AU37" s="74" t="e">
        <f t="array" ref="AU37">_xlfn.STDEV.P(IF($E$5:$E$14=$E36,AU$5:AU$14))</f>
        <v>#DIV/0!</v>
      </c>
      <c r="AV37" s="74" t="e">
        <f t="array" ref="AV37">_xlfn.STDEV.P(IF($E$5:$E$14=$E36,AV$5:AV$14))</f>
        <v>#DIV/0!</v>
      </c>
      <c r="AW37" s="74" t="e">
        <f t="array" ref="AW37">_xlfn.STDEV.P(IF($E$5:$E$14=$E36,AW$5:AW$14))</f>
        <v>#DIV/0!</v>
      </c>
      <c r="AX37" s="74" t="e">
        <f t="array" ref="AX37">_xlfn.STDEV.P(IF($E$5:$E$14=$E36,AX$5:AX$14))</f>
        <v>#DIV/0!</v>
      </c>
      <c r="AY37" s="74" t="e">
        <f t="array" ref="AY37">_xlfn.STDEV.P(IF($E$5:$E$14=$E36,AY$5:AY$14))</f>
        <v>#DIV/0!</v>
      </c>
      <c r="AZ37" s="74" t="e">
        <f t="array" ref="AZ37">_xlfn.STDEV.P(IF($E$5:$E$14=$E36,AZ$5:AZ$14))</f>
        <v>#DIV/0!</v>
      </c>
      <c r="BA37" s="74" t="e">
        <f t="array" ref="BA37">_xlfn.STDEV.P(IF($E$5:$E$14=$E36,BA$5:BA$14))</f>
        <v>#DIV/0!</v>
      </c>
      <c r="BB37" s="74" t="e">
        <f t="array" ref="BB37">_xlfn.STDEV.P(IF($E$5:$E$14=$E36,BB$5:BB$14))</f>
        <v>#DIV/0!</v>
      </c>
      <c r="BC37" s="76"/>
    </row>
    <row r="38" spans="1:55" ht="14.25" customHeight="1">
      <c r="A38" s="113"/>
      <c r="E38" s="93"/>
      <c r="I38" s="93"/>
      <c r="J38" s="305"/>
      <c r="K38" s="131" t="s">
        <v>34</v>
      </c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131" t="s">
        <v>34</v>
      </c>
      <c r="AH38" s="73">
        <f>AH36-AH$16</f>
        <v>0</v>
      </c>
      <c r="AI38" s="73">
        <f>AI36-AI$16</f>
        <v>-2.45212006671226E-2</v>
      </c>
      <c r="AJ38" s="73">
        <f t="shared" ref="AJ38:AX38" si="25">AJ36-AJ$16</f>
        <v>-4.0853232650794657E-2</v>
      </c>
      <c r="AK38" s="73">
        <f t="shared" si="25"/>
        <v>-7.037396894673531E-2</v>
      </c>
      <c r="AL38" s="73" t="e">
        <f t="shared" si="25"/>
        <v>#DIV/0!</v>
      </c>
      <c r="AM38" s="73" t="e">
        <f t="shared" si="25"/>
        <v>#DIV/0!</v>
      </c>
      <c r="AN38" s="73" t="e">
        <f t="shared" si="25"/>
        <v>#DIV/0!</v>
      </c>
      <c r="AO38" s="73" t="e">
        <f t="shared" si="25"/>
        <v>#DIV/0!</v>
      </c>
      <c r="AP38" s="73" t="e">
        <f t="shared" si="25"/>
        <v>#DIV/0!</v>
      </c>
      <c r="AQ38" s="73" t="e">
        <f t="shared" si="25"/>
        <v>#DIV/0!</v>
      </c>
      <c r="AR38" s="73" t="e">
        <f t="shared" si="25"/>
        <v>#DIV/0!</v>
      </c>
      <c r="AS38" s="73" t="e">
        <f t="shared" si="25"/>
        <v>#DIV/0!</v>
      </c>
      <c r="AT38" s="73" t="e">
        <f t="shared" si="25"/>
        <v>#DIV/0!</v>
      </c>
      <c r="AU38" s="73" t="e">
        <f t="shared" si="25"/>
        <v>#DIV/0!</v>
      </c>
      <c r="AV38" s="73" t="e">
        <f t="shared" si="25"/>
        <v>#DIV/0!</v>
      </c>
      <c r="AW38" s="73" t="e">
        <f t="shared" si="25"/>
        <v>#DIV/0!</v>
      </c>
      <c r="AX38" s="73" t="e">
        <f t="shared" si="25"/>
        <v>#DIV/0!</v>
      </c>
      <c r="AY38" s="73" t="e">
        <f>AY36-AY$16</f>
        <v>#DIV/0!</v>
      </c>
      <c r="AZ38" s="73" t="e">
        <f>AZ36-AZ$16</f>
        <v>#DIV/0!</v>
      </c>
      <c r="BA38" s="73" t="e">
        <f>BA36-BA$16</f>
        <v>#DIV/0!</v>
      </c>
      <c r="BB38" s="73" t="e">
        <f>BB36-BB$16</f>
        <v>#DIV/0!</v>
      </c>
      <c r="BC38" s="130"/>
    </row>
    <row r="39" spans="1:55" ht="14.25" customHeight="1">
      <c r="A39" s="113"/>
      <c r="E39" s="93"/>
      <c r="I39" s="93"/>
      <c r="J39" s="305"/>
      <c r="K39" s="105" t="s">
        <v>48</v>
      </c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105" t="s">
        <v>48</v>
      </c>
      <c r="AH39" s="73"/>
      <c r="AI39" s="73">
        <f>AH36*EXP((AI$4-AH$4)*-LN(2)/8.091)</f>
        <v>0.91789808441829013</v>
      </c>
      <c r="AJ39" s="73">
        <f>AI36*EXP((AJ$4-AI$4)*-LN(2)/8.091)</f>
        <v>0.81938745750479258</v>
      </c>
      <c r="AK39" s="73">
        <f t="shared" ref="AK39:AX39" si="26">AJ36*EXP((AK$4-AJ$4)*-LN(2)/8.091)</f>
        <v>0.619000676415564</v>
      </c>
      <c r="AL39" s="73">
        <f t="shared" si="26"/>
        <v>0.48760660730145261</v>
      </c>
      <c r="AM39" s="73" t="e">
        <f t="shared" si="26"/>
        <v>#DIV/0!</v>
      </c>
      <c r="AN39" s="73" t="e">
        <f t="shared" si="26"/>
        <v>#DIV/0!</v>
      </c>
      <c r="AO39" s="73" t="e">
        <f t="shared" si="26"/>
        <v>#DIV/0!</v>
      </c>
      <c r="AP39" s="73" t="e">
        <f t="shared" si="26"/>
        <v>#DIV/0!</v>
      </c>
      <c r="AQ39" s="73" t="e">
        <f t="shared" si="26"/>
        <v>#DIV/0!</v>
      </c>
      <c r="AR39" s="73" t="e">
        <f t="shared" si="26"/>
        <v>#DIV/0!</v>
      </c>
      <c r="AS39" s="73" t="e">
        <f t="shared" si="26"/>
        <v>#DIV/0!</v>
      </c>
      <c r="AT39" s="73" t="e">
        <f t="shared" si="26"/>
        <v>#DIV/0!</v>
      </c>
      <c r="AU39" s="73" t="e">
        <f t="shared" si="26"/>
        <v>#DIV/0!</v>
      </c>
      <c r="AV39" s="73" t="e">
        <f t="shared" si="26"/>
        <v>#DIV/0!</v>
      </c>
      <c r="AW39" s="73" t="e">
        <f t="shared" si="26"/>
        <v>#DIV/0!</v>
      </c>
      <c r="AX39" s="73" t="e">
        <f t="shared" si="26"/>
        <v>#DIV/0!</v>
      </c>
      <c r="AY39" s="73" t="e">
        <f>AX36*EXP((AY$4-AX$4)*-LN(2)/8.091)</f>
        <v>#DIV/0!</v>
      </c>
      <c r="AZ39" s="73" t="e">
        <f>AY36*EXP((AZ$4-AY$4)*-LN(2)/8.091)</f>
        <v>#DIV/0!</v>
      </c>
      <c r="BA39" s="73" t="e">
        <f>AZ36*EXP((BA$4-AZ$4)*-LN(2)/8.091)</f>
        <v>#DIV/0!</v>
      </c>
      <c r="BB39" s="73" t="e">
        <f>BA36*EXP((BB$4-BA$4)*-LN(2)/8.091)</f>
        <v>#DIV/0!</v>
      </c>
      <c r="BC39" s="130"/>
    </row>
    <row r="40" spans="1:55" ht="14.25" customHeight="1">
      <c r="A40" s="113"/>
      <c r="E40" s="93"/>
      <c r="I40" s="93"/>
      <c r="J40" s="305"/>
      <c r="K40" s="105" t="s">
        <v>35</v>
      </c>
      <c r="L40" s="80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105" t="s">
        <v>35</v>
      </c>
      <c r="AH40" s="147"/>
      <c r="AI40" s="74">
        <f t="shared" ref="AI40:BB40" si="27">AI36-AI39</f>
        <v>-2.5220050315983178E-2</v>
      </c>
      <c r="AJ40" s="74">
        <f t="shared" si="27"/>
        <v>-1.8986253893960137E-2</v>
      </c>
      <c r="AK40" s="74">
        <f t="shared" si="27"/>
        <v>-4.0264467789686398E-2</v>
      </c>
      <c r="AL40" s="74" t="e">
        <f t="shared" si="27"/>
        <v>#DIV/0!</v>
      </c>
      <c r="AM40" s="74" t="e">
        <f t="shared" si="27"/>
        <v>#DIV/0!</v>
      </c>
      <c r="AN40" s="74" t="e">
        <f t="shared" si="27"/>
        <v>#DIV/0!</v>
      </c>
      <c r="AO40" s="74" t="e">
        <f t="shared" si="27"/>
        <v>#DIV/0!</v>
      </c>
      <c r="AP40" s="74" t="e">
        <f t="shared" si="27"/>
        <v>#DIV/0!</v>
      </c>
      <c r="AQ40" s="74" t="e">
        <f t="shared" si="27"/>
        <v>#DIV/0!</v>
      </c>
      <c r="AR40" s="74" t="e">
        <f t="shared" si="27"/>
        <v>#DIV/0!</v>
      </c>
      <c r="AS40" s="74" t="e">
        <f t="shared" si="27"/>
        <v>#DIV/0!</v>
      </c>
      <c r="AT40" s="74" t="e">
        <f t="shared" si="27"/>
        <v>#DIV/0!</v>
      </c>
      <c r="AU40" s="74" t="e">
        <f t="shared" si="27"/>
        <v>#DIV/0!</v>
      </c>
      <c r="AV40" s="74" t="e">
        <f t="shared" si="27"/>
        <v>#DIV/0!</v>
      </c>
      <c r="AW40" s="74" t="e">
        <f t="shared" si="27"/>
        <v>#DIV/0!</v>
      </c>
      <c r="AX40" s="74" t="e">
        <f t="shared" si="27"/>
        <v>#DIV/0!</v>
      </c>
      <c r="AY40" s="74" t="e">
        <f t="shared" si="27"/>
        <v>#DIV/0!</v>
      </c>
      <c r="AZ40" s="74" t="e">
        <f t="shared" si="27"/>
        <v>#DIV/0!</v>
      </c>
      <c r="BA40" s="74" t="e">
        <f t="shared" si="27"/>
        <v>#DIV/0!</v>
      </c>
      <c r="BB40" s="74" t="e">
        <f t="shared" si="27"/>
        <v>#DIV/0!</v>
      </c>
      <c r="BC40" s="130"/>
    </row>
    <row r="41" spans="1:55" ht="14.25" customHeight="1">
      <c r="A41" s="113"/>
      <c r="E41" s="93"/>
      <c r="I41" s="93"/>
      <c r="J41" s="305"/>
      <c r="K41" s="105" t="s">
        <v>49</v>
      </c>
      <c r="L41" s="80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105" t="s">
        <v>49</v>
      </c>
      <c r="AH41" s="147">
        <f>AH36/AH$16</f>
        <v>1</v>
      </c>
      <c r="AI41" s="74">
        <f>AI36/AI$16</f>
        <v>0.97326513178645768</v>
      </c>
      <c r="AJ41" s="74">
        <f>AJ36/AJ$16</f>
        <v>0.95143772099159607</v>
      </c>
      <c r="AK41" s="74">
        <f t="shared" ref="AK41:AX41" si="28">AK36/AK$16</f>
        <v>0.89158393847728123</v>
      </c>
      <c r="AL41" s="74" t="e">
        <f t="shared" si="28"/>
        <v>#DIV/0!</v>
      </c>
      <c r="AM41" s="74" t="e">
        <f t="shared" si="28"/>
        <v>#DIV/0!</v>
      </c>
      <c r="AN41" s="74" t="e">
        <f t="shared" si="28"/>
        <v>#DIV/0!</v>
      </c>
      <c r="AO41" s="74" t="e">
        <f t="shared" si="28"/>
        <v>#DIV/0!</v>
      </c>
      <c r="AP41" s="74" t="e">
        <f t="shared" si="28"/>
        <v>#DIV/0!</v>
      </c>
      <c r="AQ41" s="74" t="e">
        <f t="shared" si="28"/>
        <v>#DIV/0!</v>
      </c>
      <c r="AR41" s="74" t="e">
        <f t="shared" si="28"/>
        <v>#DIV/0!</v>
      </c>
      <c r="AS41" s="74" t="e">
        <f t="shared" si="28"/>
        <v>#DIV/0!</v>
      </c>
      <c r="AT41" s="74" t="e">
        <f t="shared" si="28"/>
        <v>#DIV/0!</v>
      </c>
      <c r="AU41" s="74" t="e">
        <f t="shared" si="28"/>
        <v>#DIV/0!</v>
      </c>
      <c r="AV41" s="74" t="e">
        <f t="shared" si="28"/>
        <v>#DIV/0!</v>
      </c>
      <c r="AW41" s="74" t="e">
        <f t="shared" si="28"/>
        <v>#DIV/0!</v>
      </c>
      <c r="AX41" s="74" t="e">
        <f t="shared" si="28"/>
        <v>#DIV/0!</v>
      </c>
      <c r="AY41" s="74" t="e">
        <f>AY36/AY$16</f>
        <v>#DIV/0!</v>
      </c>
      <c r="AZ41" s="74" t="e">
        <f>AZ36/AZ$16</f>
        <v>#DIV/0!</v>
      </c>
      <c r="BA41" s="74" t="e">
        <f>BA36/BA$16</f>
        <v>#DIV/0!</v>
      </c>
      <c r="BB41" s="74" t="e">
        <f>BB36/BB$16</f>
        <v>#DIV/0!</v>
      </c>
      <c r="BC41" s="130"/>
    </row>
    <row r="42" spans="1:55" ht="15">
      <c r="A42" s="113"/>
      <c r="E42" s="52"/>
      <c r="I42" s="52"/>
      <c r="K42" s="133"/>
      <c r="AG42" s="133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148"/>
    </row>
  </sheetData>
  <autoFilter ref="A4:BB14" xr:uid="{00000000-0009-0000-0000-000002000000}">
    <sortState xmlns:xlrd2="http://schemas.microsoft.com/office/spreadsheetml/2017/richdata2" ref="A5:AX54">
      <sortCondition ref="B4:B54"/>
    </sortState>
  </autoFilter>
  <mergeCells count="5">
    <mergeCell ref="F2:H2"/>
    <mergeCell ref="I2:J2"/>
    <mergeCell ref="I16:K16"/>
    <mergeCell ref="I18:I19"/>
    <mergeCell ref="A1:F1"/>
  </mergeCells>
  <dataValidations count="1">
    <dataValidation type="list" allowBlank="1" showInputMessage="1" showErrorMessage="1" sqref="E5:E14" xr:uid="{5F68DAB6-83E2-44B9-B7ED-239AFE6901D7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E8B9FC9-0F38-49EB-99FD-88411A8EB4B9}">
          <x14:formula1>
            <xm:f>'AsPc1 REPEAT Groups'!$C$6:$C$14</xm:f>
          </x14:formula1>
          <xm:sqref>E20:E42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813C-8575-43B5-BE3F-5AD2870F8972}">
  <dimension ref="A1:BC55"/>
  <sheetViews>
    <sheetView showGridLines="0" workbookViewId="0">
      <pane xSplit="8" ySplit="4" topLeftCell="I5" activePane="bottomRight" state="frozen"/>
      <selection activeCell="G21" sqref="G21"/>
      <selection pane="topRight" activeCell="G21" sqref="G21"/>
      <selection pane="bottomLeft" activeCell="G21" sqref="G21"/>
      <selection pane="bottomRight" sqref="A1:E1"/>
    </sheetView>
  </sheetViews>
  <sheetFormatPr defaultRowHeight="12.75" outlineLevelCol="1"/>
  <cols>
    <col min="1" max="1" width="9.85546875" style="54" bestFit="1" customWidth="1"/>
    <col min="2" max="2" width="9.140625" style="44"/>
    <col min="3" max="3" width="17.28515625" style="55" hidden="1" customWidth="1" outlineLevel="1"/>
    <col min="4" max="4" width="19" style="44" hidden="1" customWidth="1" outlineLevel="1"/>
    <col min="5" max="5" width="24.140625" style="53" bestFit="1" customWidth="1" collapsed="1"/>
    <col min="6" max="6" width="14.7109375" style="56" customWidth="1"/>
    <col min="7" max="7" width="12.7109375" style="79" hidden="1" customWidth="1" outlineLevel="1"/>
    <col min="8" max="8" width="12.85546875" style="56" customWidth="1" collapsed="1"/>
    <col min="9" max="9" width="11.85546875" style="44" customWidth="1"/>
    <col min="10" max="11" width="8.5703125" style="44" customWidth="1"/>
    <col min="12" max="54" width="8.5703125" style="44" customWidth="1" outlineLevel="1"/>
    <col min="55" max="16384" width="9.140625" style="53"/>
  </cols>
  <sheetData>
    <row r="1" spans="1:55" s="7" customFormat="1" ht="27">
      <c r="A1" s="326" t="s">
        <v>82</v>
      </c>
      <c r="B1" s="326"/>
      <c r="C1" s="326"/>
      <c r="D1" s="326"/>
      <c r="E1" s="326"/>
      <c r="F1" s="10"/>
      <c r="G1" s="215"/>
      <c r="H1" s="1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5" s="50" customFormat="1" ht="15.75" customHeight="1">
      <c r="A2" s="324" t="s">
        <v>36</v>
      </c>
      <c r="B2" s="266"/>
      <c r="C2" s="267"/>
      <c r="D2" s="266"/>
      <c r="E2" s="16"/>
      <c r="F2" s="250" t="s">
        <v>12</v>
      </c>
      <c r="G2" s="269"/>
      <c r="H2" s="247" t="s">
        <v>0</v>
      </c>
      <c r="I2" s="17"/>
      <c r="J2" s="324" t="s">
        <v>37</v>
      </c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70"/>
      <c r="BC2" s="49"/>
    </row>
    <row r="3" spans="1:55" s="64" customFormat="1" ht="15.75">
      <c r="A3" s="310"/>
      <c r="B3" s="311"/>
      <c r="C3" s="312"/>
      <c r="D3" s="311"/>
      <c r="E3" s="62"/>
      <c r="F3" s="276"/>
      <c r="G3" s="325"/>
      <c r="H3" s="247"/>
      <c r="I3" s="190" t="s">
        <v>13</v>
      </c>
      <c r="J3" s="280">
        <v>43012</v>
      </c>
      <c r="K3" s="280">
        <v>43013</v>
      </c>
      <c r="L3" s="280">
        <v>43014</v>
      </c>
      <c r="M3" s="280">
        <v>43017</v>
      </c>
      <c r="N3" s="280">
        <v>43019</v>
      </c>
      <c r="O3" s="280">
        <v>43021</v>
      </c>
      <c r="P3" s="280">
        <v>43024</v>
      </c>
      <c r="Q3" s="280">
        <v>43026</v>
      </c>
      <c r="R3" s="280">
        <v>43028</v>
      </c>
      <c r="S3" s="280">
        <v>43031</v>
      </c>
      <c r="T3" s="280">
        <v>43033</v>
      </c>
      <c r="U3" s="280">
        <v>43035</v>
      </c>
      <c r="V3" s="280">
        <v>43037</v>
      </c>
      <c r="W3" s="280">
        <v>43039</v>
      </c>
      <c r="X3" s="280">
        <v>43041</v>
      </c>
      <c r="Y3" s="280">
        <v>43044</v>
      </c>
      <c r="Z3" s="280">
        <v>43047</v>
      </c>
      <c r="AA3" s="280">
        <v>43049</v>
      </c>
      <c r="AB3" s="280">
        <v>43052</v>
      </c>
      <c r="AC3" s="280">
        <v>43055</v>
      </c>
      <c r="AD3" s="280">
        <v>43057</v>
      </c>
      <c r="AE3" s="280">
        <v>43060</v>
      </c>
      <c r="AF3" s="280">
        <v>43063</v>
      </c>
      <c r="AG3" s="280">
        <v>43066</v>
      </c>
      <c r="AH3" s="280">
        <v>43068</v>
      </c>
      <c r="AI3" s="280">
        <v>43070</v>
      </c>
      <c r="AJ3" s="280">
        <v>43074</v>
      </c>
      <c r="AK3" s="280">
        <v>43077</v>
      </c>
      <c r="AL3" s="280">
        <v>43080</v>
      </c>
      <c r="AM3" s="280">
        <v>43084</v>
      </c>
      <c r="AN3" s="280">
        <v>43087</v>
      </c>
      <c r="AO3" s="280">
        <v>43090</v>
      </c>
      <c r="AP3" s="280">
        <v>43092</v>
      </c>
      <c r="AQ3" s="280">
        <v>43098</v>
      </c>
      <c r="AR3" s="280">
        <v>43101</v>
      </c>
      <c r="AS3" s="280">
        <v>43103</v>
      </c>
      <c r="AT3" s="280">
        <v>43106</v>
      </c>
      <c r="AU3" s="280">
        <v>43108</v>
      </c>
      <c r="AV3" s="280">
        <v>43111</v>
      </c>
      <c r="AW3" s="280">
        <v>43114</v>
      </c>
      <c r="AX3" s="280">
        <v>43116</v>
      </c>
      <c r="AY3" s="280">
        <v>43119</v>
      </c>
      <c r="AZ3" s="280">
        <v>43122</v>
      </c>
      <c r="BA3" s="280">
        <v>43126</v>
      </c>
      <c r="BB3" s="280">
        <v>43131</v>
      </c>
      <c r="BC3" s="63"/>
    </row>
    <row r="4" spans="1:55" s="52" customFormat="1" ht="15.75" customHeight="1">
      <c r="A4" s="314" t="s">
        <v>5</v>
      </c>
      <c r="B4" s="176" t="s">
        <v>6</v>
      </c>
      <c r="C4" s="283" t="s">
        <v>7</v>
      </c>
      <c r="D4" s="314" t="s">
        <v>14</v>
      </c>
      <c r="E4" s="21" t="s">
        <v>10</v>
      </c>
      <c r="F4" s="22" t="s">
        <v>1</v>
      </c>
      <c r="G4" s="316" t="s">
        <v>69</v>
      </c>
      <c r="H4" s="22" t="s">
        <v>1</v>
      </c>
      <c r="I4" s="202" t="s">
        <v>8</v>
      </c>
      <c r="J4" s="288">
        <f t="shared" ref="J4:BB4" si="0">IF(ISBLANK(J3)=TRUE,"",J3-$H5)</f>
        <v>0</v>
      </c>
      <c r="K4" s="288">
        <f t="shared" si="0"/>
        <v>1</v>
      </c>
      <c r="L4" s="288">
        <f t="shared" si="0"/>
        <v>2</v>
      </c>
      <c r="M4" s="288">
        <f t="shared" si="0"/>
        <v>5</v>
      </c>
      <c r="N4" s="288">
        <f t="shared" si="0"/>
        <v>7</v>
      </c>
      <c r="O4" s="288">
        <f t="shared" si="0"/>
        <v>9</v>
      </c>
      <c r="P4" s="288">
        <f t="shared" si="0"/>
        <v>12</v>
      </c>
      <c r="Q4" s="288">
        <f t="shared" si="0"/>
        <v>14</v>
      </c>
      <c r="R4" s="288">
        <f t="shared" si="0"/>
        <v>16</v>
      </c>
      <c r="S4" s="288">
        <f t="shared" si="0"/>
        <v>19</v>
      </c>
      <c r="T4" s="288">
        <f t="shared" si="0"/>
        <v>21</v>
      </c>
      <c r="U4" s="288">
        <f t="shared" si="0"/>
        <v>23</v>
      </c>
      <c r="V4" s="288">
        <f t="shared" si="0"/>
        <v>25</v>
      </c>
      <c r="W4" s="288">
        <f t="shared" si="0"/>
        <v>27</v>
      </c>
      <c r="X4" s="288">
        <f t="shared" si="0"/>
        <v>29</v>
      </c>
      <c r="Y4" s="288">
        <f t="shared" si="0"/>
        <v>32</v>
      </c>
      <c r="Z4" s="288">
        <f t="shared" si="0"/>
        <v>35</v>
      </c>
      <c r="AA4" s="288">
        <f t="shared" si="0"/>
        <v>37</v>
      </c>
      <c r="AB4" s="288">
        <f t="shared" si="0"/>
        <v>40</v>
      </c>
      <c r="AC4" s="288">
        <f t="shared" si="0"/>
        <v>43</v>
      </c>
      <c r="AD4" s="288">
        <f t="shared" si="0"/>
        <v>45</v>
      </c>
      <c r="AE4" s="288">
        <f t="shared" si="0"/>
        <v>48</v>
      </c>
      <c r="AF4" s="288">
        <f t="shared" si="0"/>
        <v>51</v>
      </c>
      <c r="AG4" s="288">
        <f t="shared" si="0"/>
        <v>54</v>
      </c>
      <c r="AH4" s="288">
        <f t="shared" si="0"/>
        <v>56</v>
      </c>
      <c r="AI4" s="288">
        <f t="shared" si="0"/>
        <v>58</v>
      </c>
      <c r="AJ4" s="288">
        <f t="shared" si="0"/>
        <v>62</v>
      </c>
      <c r="AK4" s="288">
        <f t="shared" si="0"/>
        <v>65</v>
      </c>
      <c r="AL4" s="288">
        <f t="shared" si="0"/>
        <v>68</v>
      </c>
      <c r="AM4" s="288">
        <f t="shared" si="0"/>
        <v>72</v>
      </c>
      <c r="AN4" s="288">
        <f t="shared" si="0"/>
        <v>75</v>
      </c>
      <c r="AO4" s="288">
        <f t="shared" si="0"/>
        <v>78</v>
      </c>
      <c r="AP4" s="288">
        <f t="shared" si="0"/>
        <v>80</v>
      </c>
      <c r="AQ4" s="288">
        <f t="shared" si="0"/>
        <v>86</v>
      </c>
      <c r="AR4" s="288">
        <f t="shared" si="0"/>
        <v>89</v>
      </c>
      <c r="AS4" s="288">
        <f t="shared" si="0"/>
        <v>91</v>
      </c>
      <c r="AT4" s="288">
        <f t="shared" si="0"/>
        <v>94</v>
      </c>
      <c r="AU4" s="288">
        <f t="shared" si="0"/>
        <v>96</v>
      </c>
      <c r="AV4" s="288">
        <f t="shared" si="0"/>
        <v>99</v>
      </c>
      <c r="AW4" s="288">
        <f t="shared" si="0"/>
        <v>102</v>
      </c>
      <c r="AX4" s="288">
        <f t="shared" si="0"/>
        <v>104</v>
      </c>
      <c r="AY4" s="288">
        <f t="shared" si="0"/>
        <v>107</v>
      </c>
      <c r="AZ4" s="288">
        <f t="shared" si="0"/>
        <v>110</v>
      </c>
      <c r="BA4" s="288">
        <f t="shared" si="0"/>
        <v>114</v>
      </c>
      <c r="BB4" s="288">
        <f t="shared" si="0"/>
        <v>119</v>
      </c>
      <c r="BC4" s="51"/>
    </row>
    <row r="5" spans="1:55">
      <c r="A5" s="25">
        <v>1093342</v>
      </c>
      <c r="B5" s="26">
        <v>11</v>
      </c>
      <c r="C5" s="27"/>
      <c r="D5" s="25"/>
      <c r="E5" s="289" t="s">
        <v>63</v>
      </c>
      <c r="F5" s="29">
        <v>43003</v>
      </c>
      <c r="G5" s="210" t="s">
        <v>67</v>
      </c>
      <c r="H5" s="29">
        <v>43012</v>
      </c>
      <c r="I5" s="121"/>
      <c r="J5" s="78" t="s">
        <v>72</v>
      </c>
      <c r="K5" s="78" t="s">
        <v>72</v>
      </c>
      <c r="L5" s="78" t="s">
        <v>72</v>
      </c>
      <c r="M5" s="78" t="s">
        <v>72</v>
      </c>
      <c r="N5" s="78" t="s">
        <v>72</v>
      </c>
      <c r="O5" s="78" t="s">
        <v>72</v>
      </c>
      <c r="P5" s="78" t="s">
        <v>72</v>
      </c>
      <c r="Q5" s="78" t="s">
        <v>72</v>
      </c>
      <c r="R5" s="78" t="s">
        <v>72</v>
      </c>
      <c r="S5" s="78" t="s">
        <v>72</v>
      </c>
      <c r="T5" s="78" t="s">
        <v>72</v>
      </c>
      <c r="U5" s="78" t="s">
        <v>72</v>
      </c>
      <c r="V5" s="78" t="s">
        <v>72</v>
      </c>
      <c r="W5" s="78" t="s">
        <v>72</v>
      </c>
      <c r="X5" s="78" t="s">
        <v>72</v>
      </c>
      <c r="Y5" s="78" t="s">
        <v>72</v>
      </c>
      <c r="Z5" s="78" t="s">
        <v>72</v>
      </c>
      <c r="AA5" s="78" t="s">
        <v>72</v>
      </c>
      <c r="AB5" s="78" t="s">
        <v>72</v>
      </c>
      <c r="AC5" s="78" t="s">
        <v>72</v>
      </c>
      <c r="AD5" s="78" t="s">
        <v>72</v>
      </c>
      <c r="AE5" s="78" t="s">
        <v>72</v>
      </c>
      <c r="AF5" s="78" t="s">
        <v>72</v>
      </c>
      <c r="AG5" s="78" t="s">
        <v>72</v>
      </c>
      <c r="AH5" s="78" t="s">
        <v>72</v>
      </c>
      <c r="AI5" s="78" t="s">
        <v>72</v>
      </c>
      <c r="AJ5" s="78" t="s">
        <v>72</v>
      </c>
      <c r="AK5" s="78" t="s">
        <v>72</v>
      </c>
      <c r="AL5" s="78" t="s">
        <v>72</v>
      </c>
      <c r="AM5" s="78" t="s">
        <v>72</v>
      </c>
      <c r="AN5" s="78" t="s">
        <v>72</v>
      </c>
      <c r="AO5" s="78" t="s">
        <v>72</v>
      </c>
      <c r="AP5" s="78" t="s">
        <v>72</v>
      </c>
      <c r="AQ5" s="78" t="s">
        <v>72</v>
      </c>
      <c r="AR5" s="78" t="s">
        <v>72</v>
      </c>
      <c r="AS5" s="78" t="s">
        <v>72</v>
      </c>
      <c r="AT5" s="78" t="s">
        <v>72</v>
      </c>
      <c r="AU5" s="78" t="s">
        <v>72</v>
      </c>
      <c r="AV5" s="78" t="s">
        <v>72</v>
      </c>
      <c r="AW5" s="78" t="s">
        <v>72</v>
      </c>
      <c r="AX5" s="78" t="s">
        <v>72</v>
      </c>
      <c r="AY5" s="78" t="s">
        <v>72</v>
      </c>
      <c r="AZ5" s="78" t="s">
        <v>72</v>
      </c>
      <c r="BA5" s="78" t="s">
        <v>72</v>
      </c>
      <c r="BB5" s="78" t="s">
        <v>74</v>
      </c>
      <c r="BC5" s="3"/>
    </row>
    <row r="6" spans="1:55">
      <c r="A6" s="25">
        <v>1093342</v>
      </c>
      <c r="B6" s="1">
        <v>12</v>
      </c>
      <c r="C6" s="27"/>
      <c r="D6" s="25"/>
      <c r="E6" s="289" t="s">
        <v>63</v>
      </c>
      <c r="F6" s="29">
        <v>43003</v>
      </c>
      <c r="G6" s="210" t="s">
        <v>67</v>
      </c>
      <c r="H6" s="29">
        <v>43012</v>
      </c>
      <c r="I6" s="121"/>
      <c r="J6" s="78" t="s">
        <v>72</v>
      </c>
      <c r="K6" s="78" t="s">
        <v>72</v>
      </c>
      <c r="L6" s="78" t="s">
        <v>72</v>
      </c>
      <c r="M6" s="78" t="s">
        <v>72</v>
      </c>
      <c r="N6" s="78" t="s">
        <v>72</v>
      </c>
      <c r="O6" s="78" t="s">
        <v>72</v>
      </c>
      <c r="P6" s="78" t="s">
        <v>72</v>
      </c>
      <c r="Q6" s="78" t="s">
        <v>72</v>
      </c>
      <c r="R6" s="78" t="s">
        <v>72</v>
      </c>
      <c r="S6" s="78" t="s">
        <v>72</v>
      </c>
      <c r="T6" s="78" t="s">
        <v>72</v>
      </c>
      <c r="U6" s="78" t="s">
        <v>72</v>
      </c>
      <c r="V6" s="78" t="s">
        <v>72</v>
      </c>
      <c r="W6" s="78" t="s">
        <v>72</v>
      </c>
      <c r="X6" s="78" t="s">
        <v>72</v>
      </c>
      <c r="Y6" s="78" t="s">
        <v>72</v>
      </c>
      <c r="Z6" s="78" t="s">
        <v>72</v>
      </c>
      <c r="AA6" s="83" t="s">
        <v>72</v>
      </c>
      <c r="AB6" s="83" t="s">
        <v>72</v>
      </c>
      <c r="AC6" s="83" t="s">
        <v>72</v>
      </c>
      <c r="AD6" s="83" t="s">
        <v>72</v>
      </c>
      <c r="AE6" s="83" t="s">
        <v>72</v>
      </c>
      <c r="AF6" s="83" t="s">
        <v>72</v>
      </c>
      <c r="AG6" s="83" t="s">
        <v>72</v>
      </c>
      <c r="AH6" s="83" t="s">
        <v>72</v>
      </c>
      <c r="AI6" s="83" t="s">
        <v>72</v>
      </c>
      <c r="AJ6" s="83" t="s">
        <v>72</v>
      </c>
      <c r="AK6" s="83" t="s">
        <v>72</v>
      </c>
      <c r="AL6" s="83" t="s">
        <v>72</v>
      </c>
      <c r="AM6" s="83" t="s">
        <v>72</v>
      </c>
      <c r="AN6" s="83" t="s">
        <v>72</v>
      </c>
      <c r="AO6" s="83" t="s">
        <v>72</v>
      </c>
      <c r="AP6" s="83" t="s">
        <v>72</v>
      </c>
      <c r="AQ6" s="83" t="s">
        <v>74</v>
      </c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3"/>
    </row>
    <row r="7" spans="1:55">
      <c r="A7" s="25">
        <v>1093342</v>
      </c>
      <c r="B7" s="1">
        <v>13</v>
      </c>
      <c r="C7" s="27"/>
      <c r="D7" s="25"/>
      <c r="E7" s="289" t="s">
        <v>63</v>
      </c>
      <c r="F7" s="29">
        <v>43003</v>
      </c>
      <c r="G7" s="210" t="s">
        <v>67</v>
      </c>
      <c r="H7" s="29">
        <v>43012</v>
      </c>
      <c r="I7" s="121"/>
      <c r="J7" s="78" t="s">
        <v>72</v>
      </c>
      <c r="K7" s="78" t="s">
        <v>72</v>
      </c>
      <c r="L7" s="78" t="s">
        <v>72</v>
      </c>
      <c r="M7" s="78" t="s">
        <v>72</v>
      </c>
      <c r="N7" s="78" t="s">
        <v>72</v>
      </c>
      <c r="O7" s="78" t="s">
        <v>72</v>
      </c>
      <c r="P7" s="78" t="s">
        <v>72</v>
      </c>
      <c r="Q7" s="78" t="s">
        <v>72</v>
      </c>
      <c r="R7" s="78" t="s">
        <v>72</v>
      </c>
      <c r="S7" s="78" t="s">
        <v>72</v>
      </c>
      <c r="T7" s="78" t="s">
        <v>72</v>
      </c>
      <c r="U7" s="78" t="s">
        <v>72</v>
      </c>
      <c r="V7" s="78" t="s">
        <v>72</v>
      </c>
      <c r="W7" s="78" t="s">
        <v>72</v>
      </c>
      <c r="X7" s="78" t="s">
        <v>72</v>
      </c>
      <c r="Y7" s="78" t="s">
        <v>72</v>
      </c>
      <c r="Z7" s="78" t="s">
        <v>72</v>
      </c>
      <c r="AA7" s="83" t="s">
        <v>72</v>
      </c>
      <c r="AB7" s="83" t="s">
        <v>72</v>
      </c>
      <c r="AC7" s="83" t="s">
        <v>72</v>
      </c>
      <c r="AD7" s="83" t="s">
        <v>72</v>
      </c>
      <c r="AE7" s="83" t="s">
        <v>72</v>
      </c>
      <c r="AF7" s="83" t="s">
        <v>72</v>
      </c>
      <c r="AG7" s="83" t="s">
        <v>72</v>
      </c>
      <c r="AH7" s="83" t="s">
        <v>72</v>
      </c>
      <c r="AI7" s="83" t="s">
        <v>72</v>
      </c>
      <c r="AJ7" s="83" t="s">
        <v>72</v>
      </c>
      <c r="AK7" s="83" t="s">
        <v>72</v>
      </c>
      <c r="AL7" s="83" t="s">
        <v>72</v>
      </c>
      <c r="AM7" s="83" t="s">
        <v>72</v>
      </c>
      <c r="AN7" s="83" t="s">
        <v>72</v>
      </c>
      <c r="AO7" s="83" t="s">
        <v>72</v>
      </c>
      <c r="AP7" s="83" t="s">
        <v>72</v>
      </c>
      <c r="AQ7" s="83" t="s">
        <v>72</v>
      </c>
      <c r="AR7" s="83" t="s">
        <v>72</v>
      </c>
      <c r="AS7" s="83" t="s">
        <v>72</v>
      </c>
      <c r="AT7" s="83" t="s">
        <v>72</v>
      </c>
      <c r="AU7" s="83" t="s">
        <v>72</v>
      </c>
      <c r="AV7" s="83" t="s">
        <v>74</v>
      </c>
      <c r="AW7" s="83"/>
      <c r="AX7" s="83"/>
      <c r="AY7" s="83"/>
      <c r="AZ7" s="83"/>
      <c r="BA7" s="83"/>
      <c r="BB7" s="83"/>
      <c r="BC7" s="3"/>
    </row>
    <row r="8" spans="1:55">
      <c r="A8" s="25">
        <v>1093342</v>
      </c>
      <c r="B8" s="1">
        <v>14</v>
      </c>
      <c r="C8" s="27"/>
      <c r="D8" s="25"/>
      <c r="E8" s="289" t="s">
        <v>63</v>
      </c>
      <c r="F8" s="29">
        <v>43003</v>
      </c>
      <c r="G8" s="210" t="s">
        <v>67</v>
      </c>
      <c r="H8" s="29">
        <v>43012</v>
      </c>
      <c r="I8" s="121"/>
      <c r="J8" s="78" t="s">
        <v>72</v>
      </c>
      <c r="K8" s="78" t="s">
        <v>72</v>
      </c>
      <c r="L8" s="78" t="s">
        <v>72</v>
      </c>
      <c r="M8" s="78" t="s">
        <v>72</v>
      </c>
      <c r="N8" s="78" t="s">
        <v>72</v>
      </c>
      <c r="O8" s="78" t="s">
        <v>72</v>
      </c>
      <c r="P8" s="78" t="s">
        <v>72</v>
      </c>
      <c r="Q8" s="78" t="s">
        <v>72</v>
      </c>
      <c r="R8" s="78" t="s">
        <v>72</v>
      </c>
      <c r="S8" s="78" t="s">
        <v>72</v>
      </c>
      <c r="T8" s="78" t="s">
        <v>72</v>
      </c>
      <c r="U8" s="78" t="s">
        <v>72</v>
      </c>
      <c r="V8" s="78" t="s">
        <v>72</v>
      </c>
      <c r="W8" s="78" t="s">
        <v>72</v>
      </c>
      <c r="X8" s="78" t="s">
        <v>72</v>
      </c>
      <c r="Y8" s="78" t="s">
        <v>72</v>
      </c>
      <c r="Z8" s="78" t="s">
        <v>72</v>
      </c>
      <c r="AA8" s="83" t="s">
        <v>72</v>
      </c>
      <c r="AB8" s="83" t="s">
        <v>72</v>
      </c>
      <c r="AC8" s="83" t="s">
        <v>72</v>
      </c>
      <c r="AD8" s="83" t="s">
        <v>72</v>
      </c>
      <c r="AE8" s="83" t="s">
        <v>72</v>
      </c>
      <c r="AF8" s="83" t="s">
        <v>72</v>
      </c>
      <c r="AG8" s="83" t="s">
        <v>72</v>
      </c>
      <c r="AH8" s="83" t="s">
        <v>72</v>
      </c>
      <c r="AI8" s="83" t="s">
        <v>72</v>
      </c>
      <c r="AJ8" s="83" t="s">
        <v>72</v>
      </c>
      <c r="AK8" s="83" t="s">
        <v>72</v>
      </c>
      <c r="AL8" s="83" t="s">
        <v>72</v>
      </c>
      <c r="AM8" s="83" t="s">
        <v>72</v>
      </c>
      <c r="AN8" s="83" t="s">
        <v>72</v>
      </c>
      <c r="AO8" s="83" t="s">
        <v>72</v>
      </c>
      <c r="AP8" s="83" t="s">
        <v>72</v>
      </c>
      <c r="AQ8" s="83" t="s">
        <v>72</v>
      </c>
      <c r="AR8" s="83" t="s">
        <v>72</v>
      </c>
      <c r="AS8" s="83" t="s">
        <v>72</v>
      </c>
      <c r="AT8" s="83" t="s">
        <v>72</v>
      </c>
      <c r="AU8" s="83" t="s">
        <v>72</v>
      </c>
      <c r="AV8" s="83" t="s">
        <v>72</v>
      </c>
      <c r="AW8" s="83" t="s">
        <v>72</v>
      </c>
      <c r="AX8" s="83" t="s">
        <v>72</v>
      </c>
      <c r="AY8" s="83" t="s">
        <v>72</v>
      </c>
      <c r="AZ8" s="83" t="s">
        <v>72</v>
      </c>
      <c r="BA8" s="83" t="s">
        <v>72</v>
      </c>
      <c r="BB8" s="83" t="s">
        <v>74</v>
      </c>
      <c r="BC8" s="3"/>
    </row>
    <row r="9" spans="1:55">
      <c r="A9" s="25">
        <v>1093342</v>
      </c>
      <c r="B9" s="1">
        <v>15</v>
      </c>
      <c r="C9" s="27"/>
      <c r="D9" s="25"/>
      <c r="E9" s="289" t="s">
        <v>63</v>
      </c>
      <c r="F9" s="29">
        <v>43003</v>
      </c>
      <c r="G9" s="210" t="s">
        <v>67</v>
      </c>
      <c r="H9" s="29">
        <v>43012</v>
      </c>
      <c r="I9" s="121"/>
      <c r="J9" s="78" t="s">
        <v>72</v>
      </c>
      <c r="K9" s="78" t="s">
        <v>72</v>
      </c>
      <c r="L9" s="78" t="s">
        <v>72</v>
      </c>
      <c r="M9" s="78" t="s">
        <v>72</v>
      </c>
      <c r="N9" s="78" t="s">
        <v>72</v>
      </c>
      <c r="O9" s="78" t="s">
        <v>72</v>
      </c>
      <c r="P9" s="78" t="s">
        <v>72</v>
      </c>
      <c r="Q9" s="78" t="s">
        <v>72</v>
      </c>
      <c r="R9" s="78" t="s">
        <v>72</v>
      </c>
      <c r="S9" s="78" t="s">
        <v>72</v>
      </c>
      <c r="T9" s="78" t="s">
        <v>72</v>
      </c>
      <c r="U9" s="78" t="s">
        <v>72</v>
      </c>
      <c r="V9" s="78" t="s">
        <v>72</v>
      </c>
      <c r="W9" s="78" t="s">
        <v>72</v>
      </c>
      <c r="X9" s="78" t="s">
        <v>72</v>
      </c>
      <c r="Y9" s="78" t="s">
        <v>72</v>
      </c>
      <c r="Z9" s="78" t="s">
        <v>72</v>
      </c>
      <c r="AA9" s="78" t="s">
        <v>72</v>
      </c>
      <c r="AB9" s="78" t="s">
        <v>72</v>
      </c>
      <c r="AC9" s="78" t="s">
        <v>72</v>
      </c>
      <c r="AD9" s="78" t="s">
        <v>72</v>
      </c>
      <c r="AE9" s="78" t="s">
        <v>72</v>
      </c>
      <c r="AF9" s="78" t="s">
        <v>72</v>
      </c>
      <c r="AG9" s="78" t="s">
        <v>72</v>
      </c>
      <c r="AH9" s="78" t="s">
        <v>72</v>
      </c>
      <c r="AI9" s="78" t="s">
        <v>72</v>
      </c>
      <c r="AJ9" s="78" t="s">
        <v>72</v>
      </c>
      <c r="AK9" s="78" t="s">
        <v>72</v>
      </c>
      <c r="AL9" s="78" t="s">
        <v>72</v>
      </c>
      <c r="AM9" s="78" t="s">
        <v>72</v>
      </c>
      <c r="AN9" s="78" t="s">
        <v>72</v>
      </c>
      <c r="AO9" s="78" t="s">
        <v>72</v>
      </c>
      <c r="AP9" s="78" t="s">
        <v>72</v>
      </c>
      <c r="AQ9" s="78" t="s">
        <v>74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3"/>
    </row>
    <row r="10" spans="1:55">
      <c r="A10" s="37">
        <v>1093343</v>
      </c>
      <c r="B10" s="1">
        <v>21</v>
      </c>
      <c r="C10" s="27"/>
      <c r="D10" s="25"/>
      <c r="E10" s="289" t="s">
        <v>62</v>
      </c>
      <c r="F10" s="29">
        <v>43003</v>
      </c>
      <c r="G10" s="210" t="s">
        <v>67</v>
      </c>
      <c r="H10" s="29">
        <v>43012</v>
      </c>
      <c r="I10" s="121"/>
      <c r="J10" s="78" t="s">
        <v>72</v>
      </c>
      <c r="K10" s="78" t="s">
        <v>72</v>
      </c>
      <c r="L10" s="78" t="s">
        <v>72</v>
      </c>
      <c r="M10" s="78" t="s">
        <v>72</v>
      </c>
      <c r="N10" s="78" t="s">
        <v>72</v>
      </c>
      <c r="O10" s="78" t="s">
        <v>72</v>
      </c>
      <c r="P10" s="78" t="s">
        <v>72</v>
      </c>
      <c r="Q10" s="78" t="s">
        <v>72</v>
      </c>
      <c r="R10" s="78" t="s">
        <v>72</v>
      </c>
      <c r="S10" s="78" t="s">
        <v>72</v>
      </c>
      <c r="T10" s="78" t="s">
        <v>72</v>
      </c>
      <c r="U10" s="78" t="s">
        <v>72</v>
      </c>
      <c r="V10" s="78" t="s">
        <v>72</v>
      </c>
      <c r="W10" s="78" t="s">
        <v>72</v>
      </c>
      <c r="X10" s="78" t="s">
        <v>72</v>
      </c>
      <c r="Y10" s="78" t="s">
        <v>72</v>
      </c>
      <c r="Z10" s="78" t="s">
        <v>72</v>
      </c>
      <c r="AA10" s="83" t="s">
        <v>74</v>
      </c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3"/>
    </row>
    <row r="11" spans="1:55">
      <c r="A11" s="37">
        <v>1093343</v>
      </c>
      <c r="B11" s="1">
        <v>22</v>
      </c>
      <c r="C11" s="27"/>
      <c r="D11" s="25"/>
      <c r="E11" s="289" t="s">
        <v>63</v>
      </c>
      <c r="F11" s="29">
        <v>43003</v>
      </c>
      <c r="G11" s="210" t="s">
        <v>67</v>
      </c>
      <c r="H11" s="29">
        <v>43012</v>
      </c>
      <c r="I11" s="121"/>
      <c r="J11" s="78" t="s">
        <v>72</v>
      </c>
      <c r="K11" s="78" t="s">
        <v>72</v>
      </c>
      <c r="L11" s="78" t="s">
        <v>72</v>
      </c>
      <c r="M11" s="78" t="s">
        <v>72</v>
      </c>
      <c r="N11" s="78" t="s">
        <v>72</v>
      </c>
      <c r="O11" s="78" t="s">
        <v>72</v>
      </c>
      <c r="P11" s="78" t="s">
        <v>72</v>
      </c>
      <c r="Q11" s="78" t="s">
        <v>72</v>
      </c>
      <c r="R11" s="78" t="s">
        <v>72</v>
      </c>
      <c r="S11" s="78" t="s">
        <v>72</v>
      </c>
      <c r="T11" s="78" t="s">
        <v>72</v>
      </c>
      <c r="U11" s="78" t="s">
        <v>72</v>
      </c>
      <c r="V11" s="78" t="s">
        <v>72</v>
      </c>
      <c r="W11" s="78" t="s">
        <v>72</v>
      </c>
      <c r="X11" s="78" t="s">
        <v>72</v>
      </c>
      <c r="Y11" s="78" t="s">
        <v>72</v>
      </c>
      <c r="Z11" s="78" t="s">
        <v>72</v>
      </c>
      <c r="AA11" s="78" t="s">
        <v>72</v>
      </c>
      <c r="AB11" s="78" t="s">
        <v>72</v>
      </c>
      <c r="AC11" s="78" t="s">
        <v>72</v>
      </c>
      <c r="AD11" s="78" t="s">
        <v>72</v>
      </c>
      <c r="AE11" s="78" t="s">
        <v>72</v>
      </c>
      <c r="AF11" s="78" t="s">
        <v>72</v>
      </c>
      <c r="AG11" s="78" t="s">
        <v>72</v>
      </c>
      <c r="AH11" s="78" t="s">
        <v>72</v>
      </c>
      <c r="AI11" s="78" t="s">
        <v>72</v>
      </c>
      <c r="AJ11" s="78" t="s">
        <v>72</v>
      </c>
      <c r="AK11" s="78" t="s">
        <v>72</v>
      </c>
      <c r="AL11" s="78" t="s">
        <v>74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3"/>
    </row>
    <row r="12" spans="1:55">
      <c r="A12" s="37">
        <v>1093343</v>
      </c>
      <c r="B12" s="1">
        <v>23</v>
      </c>
      <c r="C12" s="27"/>
      <c r="D12" s="25"/>
      <c r="E12" s="289" t="s">
        <v>79</v>
      </c>
      <c r="F12" s="29">
        <v>43003</v>
      </c>
      <c r="G12" s="210" t="s">
        <v>67</v>
      </c>
      <c r="H12" s="29">
        <v>43012</v>
      </c>
      <c r="I12" s="121"/>
      <c r="J12" s="78" t="s">
        <v>72</v>
      </c>
      <c r="K12" s="78" t="s">
        <v>72</v>
      </c>
      <c r="L12" s="78" t="s">
        <v>72</v>
      </c>
      <c r="M12" s="78" t="s">
        <v>74</v>
      </c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3"/>
    </row>
    <row r="13" spans="1:55">
      <c r="A13" s="37">
        <v>1093343</v>
      </c>
      <c r="B13" s="1">
        <v>24</v>
      </c>
      <c r="C13" s="27"/>
      <c r="D13" s="25"/>
      <c r="E13" s="289" t="s">
        <v>62</v>
      </c>
      <c r="F13" s="29">
        <v>43003</v>
      </c>
      <c r="G13" s="210" t="s">
        <v>67</v>
      </c>
      <c r="H13" s="29">
        <v>43012</v>
      </c>
      <c r="I13" s="121"/>
      <c r="J13" s="78" t="s">
        <v>72</v>
      </c>
      <c r="K13" s="78" t="s">
        <v>72</v>
      </c>
      <c r="L13" s="78" t="s">
        <v>72</v>
      </c>
      <c r="M13" s="78" t="s">
        <v>72</v>
      </c>
      <c r="N13" s="78" t="s">
        <v>72</v>
      </c>
      <c r="O13" s="78" t="s">
        <v>72</v>
      </c>
      <c r="P13" s="78" t="s">
        <v>72</v>
      </c>
      <c r="Q13" s="78" t="s">
        <v>72</v>
      </c>
      <c r="R13" s="78" t="s">
        <v>72</v>
      </c>
      <c r="S13" s="78" t="s">
        <v>72</v>
      </c>
      <c r="T13" s="78" t="s">
        <v>72</v>
      </c>
      <c r="U13" s="78" t="s">
        <v>72</v>
      </c>
      <c r="V13" s="78" t="s">
        <v>72</v>
      </c>
      <c r="W13" s="78" t="s">
        <v>72</v>
      </c>
      <c r="X13" s="78" t="s">
        <v>72</v>
      </c>
      <c r="Y13" s="78" t="s">
        <v>72</v>
      </c>
      <c r="Z13" s="78" t="s">
        <v>72</v>
      </c>
      <c r="AA13" s="83" t="s">
        <v>72</v>
      </c>
      <c r="AB13" s="83" t="s">
        <v>72</v>
      </c>
      <c r="AC13" s="83" t="s">
        <v>72</v>
      </c>
      <c r="AD13" s="83" t="s">
        <v>72</v>
      </c>
      <c r="AE13" s="83" t="s">
        <v>72</v>
      </c>
      <c r="AF13" s="83" t="s">
        <v>72</v>
      </c>
      <c r="AG13" s="83" t="s">
        <v>74</v>
      </c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3"/>
    </row>
    <row r="14" spans="1:55">
      <c r="A14" s="38">
        <v>1093343</v>
      </c>
      <c r="B14" s="4">
        <v>25</v>
      </c>
      <c r="C14" s="89"/>
      <c r="D14" s="25"/>
      <c r="E14" s="34" t="s">
        <v>63</v>
      </c>
      <c r="F14" s="29">
        <v>43003</v>
      </c>
      <c r="G14" s="211" t="s">
        <v>67</v>
      </c>
      <c r="H14" s="29">
        <v>43012</v>
      </c>
      <c r="I14" s="121"/>
      <c r="J14" s="78" t="s">
        <v>72</v>
      </c>
      <c r="K14" s="78" t="s">
        <v>72</v>
      </c>
      <c r="L14" s="78" t="s">
        <v>72</v>
      </c>
      <c r="M14" s="78" t="s">
        <v>72</v>
      </c>
      <c r="N14" s="78" t="s">
        <v>72</v>
      </c>
      <c r="O14" s="78" t="s">
        <v>72</v>
      </c>
      <c r="P14" s="78" t="s">
        <v>72</v>
      </c>
      <c r="Q14" s="78" t="s">
        <v>72</v>
      </c>
      <c r="R14" s="78" t="s">
        <v>72</v>
      </c>
      <c r="S14" s="78" t="s">
        <v>72</v>
      </c>
      <c r="T14" s="78" t="s">
        <v>72</v>
      </c>
      <c r="U14" s="78" t="s">
        <v>72</v>
      </c>
      <c r="V14" s="78" t="s">
        <v>72</v>
      </c>
      <c r="W14" s="78" t="s">
        <v>72</v>
      </c>
      <c r="X14" s="78" t="s">
        <v>72</v>
      </c>
      <c r="Y14" s="78" t="s">
        <v>72</v>
      </c>
      <c r="Z14" s="78" t="s">
        <v>72</v>
      </c>
      <c r="AA14" s="84" t="s">
        <v>72</v>
      </c>
      <c r="AB14" s="84" t="s">
        <v>72</v>
      </c>
      <c r="AC14" s="84" t="s">
        <v>72</v>
      </c>
      <c r="AD14" s="84" t="s">
        <v>72</v>
      </c>
      <c r="AE14" s="84" t="s">
        <v>72</v>
      </c>
      <c r="AF14" s="84" t="s">
        <v>72</v>
      </c>
      <c r="AG14" s="84" t="s">
        <v>72</v>
      </c>
      <c r="AH14" s="84" t="s">
        <v>72</v>
      </c>
      <c r="AI14" s="84" t="s">
        <v>72</v>
      </c>
      <c r="AJ14" s="84" t="s">
        <v>72</v>
      </c>
      <c r="AK14" s="84" t="s">
        <v>72</v>
      </c>
      <c r="AL14" s="84" t="s">
        <v>72</v>
      </c>
      <c r="AM14" s="84" t="s">
        <v>72</v>
      </c>
      <c r="AN14" s="84" t="s">
        <v>72</v>
      </c>
      <c r="AO14" s="84" t="s">
        <v>72</v>
      </c>
      <c r="AP14" s="84" t="s">
        <v>72</v>
      </c>
      <c r="AQ14" s="84" t="s">
        <v>72</v>
      </c>
      <c r="AR14" s="84" t="s">
        <v>72</v>
      </c>
      <c r="AS14" s="84" t="s">
        <v>72</v>
      </c>
      <c r="AT14" s="84" t="s">
        <v>72</v>
      </c>
      <c r="AU14" s="84" t="s">
        <v>72</v>
      </c>
      <c r="AV14" s="84" t="s">
        <v>72</v>
      </c>
      <c r="AW14" s="84" t="s">
        <v>72</v>
      </c>
      <c r="AX14" s="84" t="s">
        <v>72</v>
      </c>
      <c r="AY14" s="84" t="s">
        <v>72</v>
      </c>
      <c r="AZ14" s="84" t="s">
        <v>74</v>
      </c>
      <c r="BA14" s="84"/>
      <c r="BB14" s="84"/>
      <c r="BC14" s="3"/>
    </row>
    <row r="15" spans="1:55">
      <c r="A15" s="290"/>
      <c r="B15" s="291"/>
      <c r="C15" s="292"/>
      <c r="D15" s="291"/>
      <c r="E15" s="293"/>
      <c r="F15" s="294"/>
      <c r="G15" s="296"/>
      <c r="H15" s="294"/>
      <c r="I15" s="291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</row>
    <row r="16" spans="1:55"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</row>
    <row r="17" spans="1:55" ht="14.25" customHeight="1">
      <c r="A17" s="53"/>
      <c r="B17" s="53"/>
      <c r="C17" s="53"/>
      <c r="E17" s="93" t="s">
        <v>16</v>
      </c>
      <c r="H17" s="300" t="s">
        <v>16</v>
      </c>
      <c r="I17" s="248" t="s">
        <v>50</v>
      </c>
      <c r="J17" s="78">
        <f t="shared" ref="J17:BB17" si="1">COUNTIF(J5:J14,"Alive")</f>
        <v>10</v>
      </c>
      <c r="K17" s="78">
        <f t="shared" si="1"/>
        <v>10</v>
      </c>
      <c r="L17" s="78">
        <f t="shared" si="1"/>
        <v>10</v>
      </c>
      <c r="M17" s="78">
        <f t="shared" si="1"/>
        <v>9</v>
      </c>
      <c r="N17" s="78">
        <f t="shared" si="1"/>
        <v>9</v>
      </c>
      <c r="O17" s="78">
        <f t="shared" si="1"/>
        <v>9</v>
      </c>
      <c r="P17" s="78">
        <f t="shared" si="1"/>
        <v>9</v>
      </c>
      <c r="Q17" s="78">
        <f t="shared" si="1"/>
        <v>9</v>
      </c>
      <c r="R17" s="78">
        <f t="shared" si="1"/>
        <v>9</v>
      </c>
      <c r="S17" s="78">
        <f t="shared" si="1"/>
        <v>9</v>
      </c>
      <c r="T17" s="78">
        <f t="shared" si="1"/>
        <v>9</v>
      </c>
      <c r="U17" s="78">
        <f t="shared" si="1"/>
        <v>9</v>
      </c>
      <c r="V17" s="78">
        <f t="shared" si="1"/>
        <v>9</v>
      </c>
      <c r="W17" s="78">
        <f t="shared" si="1"/>
        <v>9</v>
      </c>
      <c r="X17" s="78">
        <f t="shared" si="1"/>
        <v>9</v>
      </c>
      <c r="Y17" s="78">
        <f t="shared" si="1"/>
        <v>9</v>
      </c>
      <c r="Z17" s="78">
        <f t="shared" si="1"/>
        <v>9</v>
      </c>
      <c r="AA17" s="78">
        <f t="shared" si="1"/>
        <v>8</v>
      </c>
      <c r="AB17" s="78">
        <f t="shared" si="1"/>
        <v>8</v>
      </c>
      <c r="AC17" s="78">
        <f t="shared" si="1"/>
        <v>8</v>
      </c>
      <c r="AD17" s="78">
        <f t="shared" si="1"/>
        <v>8</v>
      </c>
      <c r="AE17" s="78">
        <f t="shared" si="1"/>
        <v>8</v>
      </c>
      <c r="AF17" s="78">
        <f t="shared" si="1"/>
        <v>8</v>
      </c>
      <c r="AG17" s="78">
        <f t="shared" si="1"/>
        <v>7</v>
      </c>
      <c r="AH17" s="78">
        <f t="shared" si="1"/>
        <v>7</v>
      </c>
      <c r="AI17" s="78">
        <f t="shared" si="1"/>
        <v>7</v>
      </c>
      <c r="AJ17" s="78">
        <f t="shared" si="1"/>
        <v>7</v>
      </c>
      <c r="AK17" s="78">
        <f t="shared" si="1"/>
        <v>7</v>
      </c>
      <c r="AL17" s="78">
        <f t="shared" si="1"/>
        <v>6</v>
      </c>
      <c r="AM17" s="78">
        <f t="shared" si="1"/>
        <v>6</v>
      </c>
      <c r="AN17" s="78">
        <f t="shared" si="1"/>
        <v>6</v>
      </c>
      <c r="AO17" s="78">
        <f t="shared" si="1"/>
        <v>6</v>
      </c>
      <c r="AP17" s="78">
        <f t="shared" si="1"/>
        <v>6</v>
      </c>
      <c r="AQ17" s="78">
        <f t="shared" si="1"/>
        <v>4</v>
      </c>
      <c r="AR17" s="78">
        <f t="shared" si="1"/>
        <v>4</v>
      </c>
      <c r="AS17" s="78">
        <f t="shared" si="1"/>
        <v>4</v>
      </c>
      <c r="AT17" s="78">
        <f t="shared" si="1"/>
        <v>4</v>
      </c>
      <c r="AU17" s="78">
        <f t="shared" si="1"/>
        <v>4</v>
      </c>
      <c r="AV17" s="78">
        <f t="shared" si="1"/>
        <v>3</v>
      </c>
      <c r="AW17" s="78">
        <f t="shared" si="1"/>
        <v>3</v>
      </c>
      <c r="AX17" s="78">
        <f t="shared" si="1"/>
        <v>3</v>
      </c>
      <c r="AY17" s="78">
        <f t="shared" si="1"/>
        <v>3</v>
      </c>
      <c r="AZ17" s="78">
        <f t="shared" si="1"/>
        <v>2</v>
      </c>
      <c r="BA17" s="78">
        <f t="shared" si="1"/>
        <v>2</v>
      </c>
      <c r="BB17" s="78">
        <f t="shared" si="1"/>
        <v>0</v>
      </c>
      <c r="BC17" s="3"/>
    </row>
    <row r="18" spans="1:55" ht="14.25" customHeight="1">
      <c r="A18" s="53"/>
      <c r="B18" s="53"/>
      <c r="C18" s="53"/>
      <c r="E18" s="93"/>
      <c r="H18" s="300"/>
      <c r="I18" s="248" t="s">
        <v>51</v>
      </c>
      <c r="J18" s="79">
        <f t="shared" ref="J18:BB18" si="2">COUNTIF(J5:J14,"Censored")</f>
        <v>0</v>
      </c>
      <c r="K18" s="79">
        <f t="shared" si="2"/>
        <v>0</v>
      </c>
      <c r="L18" s="79">
        <f t="shared" si="2"/>
        <v>0</v>
      </c>
      <c r="M18" s="79">
        <f t="shared" si="2"/>
        <v>0</v>
      </c>
      <c r="N18" s="79">
        <f t="shared" si="2"/>
        <v>0</v>
      </c>
      <c r="O18" s="79">
        <f t="shared" si="2"/>
        <v>0</v>
      </c>
      <c r="P18" s="79">
        <f t="shared" si="2"/>
        <v>0</v>
      </c>
      <c r="Q18" s="79">
        <f t="shared" si="2"/>
        <v>0</v>
      </c>
      <c r="R18" s="79">
        <f t="shared" si="2"/>
        <v>0</v>
      </c>
      <c r="S18" s="79">
        <f t="shared" si="2"/>
        <v>0</v>
      </c>
      <c r="T18" s="79">
        <f t="shared" si="2"/>
        <v>0</v>
      </c>
      <c r="U18" s="79">
        <f t="shared" si="2"/>
        <v>0</v>
      </c>
      <c r="V18" s="79">
        <f t="shared" si="2"/>
        <v>0</v>
      </c>
      <c r="W18" s="79">
        <f t="shared" si="2"/>
        <v>0</v>
      </c>
      <c r="X18" s="79">
        <f t="shared" si="2"/>
        <v>0</v>
      </c>
      <c r="Y18" s="79">
        <f t="shared" si="2"/>
        <v>0</v>
      </c>
      <c r="Z18" s="79">
        <f t="shared" si="2"/>
        <v>0</v>
      </c>
      <c r="AA18" s="79">
        <f t="shared" si="2"/>
        <v>0</v>
      </c>
      <c r="AB18" s="79">
        <f t="shared" si="2"/>
        <v>0</v>
      </c>
      <c r="AC18" s="79">
        <f t="shared" si="2"/>
        <v>0</v>
      </c>
      <c r="AD18" s="79">
        <f t="shared" si="2"/>
        <v>0</v>
      </c>
      <c r="AE18" s="79">
        <f t="shared" si="2"/>
        <v>0</v>
      </c>
      <c r="AF18" s="79">
        <f t="shared" si="2"/>
        <v>0</v>
      </c>
      <c r="AG18" s="79">
        <f t="shared" si="2"/>
        <v>0</v>
      </c>
      <c r="AH18" s="79">
        <f t="shared" si="2"/>
        <v>0</v>
      </c>
      <c r="AI18" s="79">
        <f t="shared" si="2"/>
        <v>0</v>
      </c>
      <c r="AJ18" s="79">
        <f t="shared" si="2"/>
        <v>0</v>
      </c>
      <c r="AK18" s="79">
        <f t="shared" si="2"/>
        <v>0</v>
      </c>
      <c r="AL18" s="79">
        <f t="shared" si="2"/>
        <v>0</v>
      </c>
      <c r="AM18" s="79">
        <f t="shared" si="2"/>
        <v>0</v>
      </c>
      <c r="AN18" s="79">
        <f t="shared" si="2"/>
        <v>0</v>
      </c>
      <c r="AO18" s="79">
        <f t="shared" si="2"/>
        <v>0</v>
      </c>
      <c r="AP18" s="79">
        <f t="shared" si="2"/>
        <v>0</v>
      </c>
      <c r="AQ18" s="79">
        <f t="shared" si="2"/>
        <v>0</v>
      </c>
      <c r="AR18" s="79">
        <f t="shared" si="2"/>
        <v>0</v>
      </c>
      <c r="AS18" s="79">
        <f t="shared" si="2"/>
        <v>0</v>
      </c>
      <c r="AT18" s="79">
        <f t="shared" si="2"/>
        <v>0</v>
      </c>
      <c r="AU18" s="79">
        <f t="shared" si="2"/>
        <v>0</v>
      </c>
      <c r="AV18" s="79">
        <f t="shared" si="2"/>
        <v>0</v>
      </c>
      <c r="AW18" s="79">
        <f t="shared" si="2"/>
        <v>0</v>
      </c>
      <c r="AX18" s="79">
        <f t="shared" si="2"/>
        <v>0</v>
      </c>
      <c r="AY18" s="79">
        <f t="shared" si="2"/>
        <v>0</v>
      </c>
      <c r="AZ18" s="79">
        <f t="shared" si="2"/>
        <v>0</v>
      </c>
      <c r="BA18" s="79">
        <f t="shared" si="2"/>
        <v>0</v>
      </c>
      <c r="BB18" s="79">
        <f t="shared" si="2"/>
        <v>0</v>
      </c>
      <c r="BC18" s="3"/>
    </row>
    <row r="19" spans="1:55" ht="14.25" customHeight="1">
      <c r="E19" s="301"/>
      <c r="H19" s="300"/>
      <c r="I19" s="248" t="s">
        <v>53</v>
      </c>
      <c r="J19" s="74">
        <f>J17/(COUNTIF(J5:J14,"Alive")+COUNTIF(J5:J14,"Sacrificed")+COUNTIF(J5:J14,"Died"))</f>
        <v>1</v>
      </c>
      <c r="K19" s="74">
        <f t="shared" ref="K19:BB19" si="3">K17/(COUNTIF(K5:K14,"Alive")+COUNTIF(K5:K14,"Sacrificed")+COUNTIF(K5:K14,"Died")) *J19</f>
        <v>1</v>
      </c>
      <c r="L19" s="74">
        <f t="shared" si="3"/>
        <v>1</v>
      </c>
      <c r="M19" s="74">
        <f t="shared" si="3"/>
        <v>0.9</v>
      </c>
      <c r="N19" s="74">
        <f t="shared" si="3"/>
        <v>0.9</v>
      </c>
      <c r="O19" s="74">
        <f t="shared" si="3"/>
        <v>0.9</v>
      </c>
      <c r="P19" s="74">
        <f t="shared" si="3"/>
        <v>0.9</v>
      </c>
      <c r="Q19" s="74">
        <f t="shared" si="3"/>
        <v>0.9</v>
      </c>
      <c r="R19" s="74">
        <f t="shared" si="3"/>
        <v>0.9</v>
      </c>
      <c r="S19" s="74">
        <f t="shared" si="3"/>
        <v>0.9</v>
      </c>
      <c r="T19" s="74">
        <f t="shared" si="3"/>
        <v>0.9</v>
      </c>
      <c r="U19" s="74">
        <f t="shared" si="3"/>
        <v>0.9</v>
      </c>
      <c r="V19" s="74">
        <f t="shared" si="3"/>
        <v>0.9</v>
      </c>
      <c r="W19" s="74">
        <f t="shared" si="3"/>
        <v>0.9</v>
      </c>
      <c r="X19" s="74">
        <f t="shared" si="3"/>
        <v>0.9</v>
      </c>
      <c r="Y19" s="74">
        <f t="shared" si="3"/>
        <v>0.9</v>
      </c>
      <c r="Z19" s="74">
        <f t="shared" si="3"/>
        <v>0.9</v>
      </c>
      <c r="AA19" s="74">
        <f t="shared" si="3"/>
        <v>0.79999999999999993</v>
      </c>
      <c r="AB19" s="74">
        <f t="shared" si="3"/>
        <v>0.79999999999999993</v>
      </c>
      <c r="AC19" s="74">
        <f t="shared" si="3"/>
        <v>0.79999999999999993</v>
      </c>
      <c r="AD19" s="74">
        <f t="shared" si="3"/>
        <v>0.79999999999999993</v>
      </c>
      <c r="AE19" s="74">
        <f t="shared" si="3"/>
        <v>0.79999999999999993</v>
      </c>
      <c r="AF19" s="74">
        <f t="shared" si="3"/>
        <v>0.79999999999999993</v>
      </c>
      <c r="AG19" s="74">
        <f t="shared" si="3"/>
        <v>0.7</v>
      </c>
      <c r="AH19" s="74">
        <f t="shared" si="3"/>
        <v>0.7</v>
      </c>
      <c r="AI19" s="74">
        <f t="shared" si="3"/>
        <v>0.7</v>
      </c>
      <c r="AJ19" s="74">
        <f t="shared" si="3"/>
        <v>0.7</v>
      </c>
      <c r="AK19" s="74">
        <f t="shared" si="3"/>
        <v>0.7</v>
      </c>
      <c r="AL19" s="74">
        <f t="shared" si="3"/>
        <v>0.6</v>
      </c>
      <c r="AM19" s="74">
        <f t="shared" si="3"/>
        <v>0.6</v>
      </c>
      <c r="AN19" s="74">
        <f t="shared" si="3"/>
        <v>0.6</v>
      </c>
      <c r="AO19" s="74">
        <f t="shared" si="3"/>
        <v>0.6</v>
      </c>
      <c r="AP19" s="74">
        <f t="shared" si="3"/>
        <v>0.6</v>
      </c>
      <c r="AQ19" s="74">
        <f t="shared" si="3"/>
        <v>0.39999999999999997</v>
      </c>
      <c r="AR19" s="74">
        <f t="shared" si="3"/>
        <v>0.39999999999999997</v>
      </c>
      <c r="AS19" s="74">
        <f t="shared" si="3"/>
        <v>0.39999999999999997</v>
      </c>
      <c r="AT19" s="74">
        <f t="shared" si="3"/>
        <v>0.39999999999999997</v>
      </c>
      <c r="AU19" s="74">
        <f t="shared" si="3"/>
        <v>0.39999999999999997</v>
      </c>
      <c r="AV19" s="74">
        <f t="shared" si="3"/>
        <v>0.3</v>
      </c>
      <c r="AW19" s="74">
        <f t="shared" si="3"/>
        <v>0.3</v>
      </c>
      <c r="AX19" s="74">
        <f t="shared" si="3"/>
        <v>0.3</v>
      </c>
      <c r="AY19" s="74">
        <f t="shared" si="3"/>
        <v>0.3</v>
      </c>
      <c r="AZ19" s="74">
        <f t="shared" si="3"/>
        <v>0.19999999999999998</v>
      </c>
      <c r="BA19" s="74">
        <f t="shared" si="3"/>
        <v>0.19999999999999998</v>
      </c>
      <c r="BB19" s="74">
        <f t="shared" si="3"/>
        <v>0</v>
      </c>
      <c r="BC19" s="3"/>
    </row>
    <row r="21" spans="1:55" ht="14.25" customHeight="1">
      <c r="A21" s="113"/>
      <c r="E21" s="118" t="str">
        <f>'AsPc1 REPEAT Groups'!C6</f>
        <v>AsPc-1 - Control</v>
      </c>
      <c r="H21" s="118" t="str">
        <f>E21</f>
        <v>AsPc-1 - Control</v>
      </c>
      <c r="I21" s="248" t="s">
        <v>52</v>
      </c>
      <c r="J21" s="78">
        <f t="shared" ref="J21:BB21" si="4">COUNTIFS($E$5:$E$14,$E21,J$5:J$14,"Alive")</f>
        <v>2</v>
      </c>
      <c r="K21" s="78">
        <f t="shared" si="4"/>
        <v>2</v>
      </c>
      <c r="L21" s="78">
        <f t="shared" si="4"/>
        <v>2</v>
      </c>
      <c r="M21" s="78">
        <f t="shared" si="4"/>
        <v>2</v>
      </c>
      <c r="N21" s="78">
        <f t="shared" si="4"/>
        <v>2</v>
      </c>
      <c r="O21" s="78">
        <f t="shared" si="4"/>
        <v>2</v>
      </c>
      <c r="P21" s="78">
        <f t="shared" si="4"/>
        <v>2</v>
      </c>
      <c r="Q21" s="78">
        <f t="shared" si="4"/>
        <v>2</v>
      </c>
      <c r="R21" s="78">
        <f t="shared" si="4"/>
        <v>2</v>
      </c>
      <c r="S21" s="78">
        <f t="shared" si="4"/>
        <v>2</v>
      </c>
      <c r="T21" s="78">
        <f t="shared" si="4"/>
        <v>2</v>
      </c>
      <c r="U21" s="78">
        <f t="shared" si="4"/>
        <v>2</v>
      </c>
      <c r="V21" s="78">
        <f t="shared" si="4"/>
        <v>2</v>
      </c>
      <c r="W21" s="78">
        <f t="shared" si="4"/>
        <v>2</v>
      </c>
      <c r="X21" s="78">
        <f t="shared" si="4"/>
        <v>2</v>
      </c>
      <c r="Y21" s="78">
        <f t="shared" si="4"/>
        <v>2</v>
      </c>
      <c r="Z21" s="78">
        <f t="shared" si="4"/>
        <v>2</v>
      </c>
      <c r="AA21" s="78">
        <f t="shared" si="4"/>
        <v>1</v>
      </c>
      <c r="AB21" s="78">
        <f t="shared" si="4"/>
        <v>1</v>
      </c>
      <c r="AC21" s="78">
        <f t="shared" si="4"/>
        <v>1</v>
      </c>
      <c r="AD21" s="78">
        <f t="shared" si="4"/>
        <v>1</v>
      </c>
      <c r="AE21" s="78">
        <f t="shared" si="4"/>
        <v>1</v>
      </c>
      <c r="AF21" s="78">
        <f t="shared" si="4"/>
        <v>1</v>
      </c>
      <c r="AG21" s="78">
        <f t="shared" si="4"/>
        <v>0</v>
      </c>
      <c r="AH21" s="78">
        <f t="shared" si="4"/>
        <v>0</v>
      </c>
      <c r="AI21" s="78">
        <f t="shared" si="4"/>
        <v>0</v>
      </c>
      <c r="AJ21" s="78">
        <f t="shared" si="4"/>
        <v>0</v>
      </c>
      <c r="AK21" s="78">
        <f t="shared" si="4"/>
        <v>0</v>
      </c>
      <c r="AL21" s="78">
        <f t="shared" si="4"/>
        <v>0</v>
      </c>
      <c r="AM21" s="78">
        <f t="shared" si="4"/>
        <v>0</v>
      </c>
      <c r="AN21" s="78">
        <f t="shared" si="4"/>
        <v>0</v>
      </c>
      <c r="AO21" s="78">
        <f t="shared" si="4"/>
        <v>0</v>
      </c>
      <c r="AP21" s="78">
        <f t="shared" si="4"/>
        <v>0</v>
      </c>
      <c r="AQ21" s="78">
        <f t="shared" si="4"/>
        <v>0</v>
      </c>
      <c r="AR21" s="78">
        <f t="shared" si="4"/>
        <v>0</v>
      </c>
      <c r="AS21" s="78">
        <f t="shared" si="4"/>
        <v>0</v>
      </c>
      <c r="AT21" s="78">
        <f t="shared" si="4"/>
        <v>0</v>
      </c>
      <c r="AU21" s="78">
        <f t="shared" si="4"/>
        <v>0</v>
      </c>
      <c r="AV21" s="78">
        <f t="shared" si="4"/>
        <v>0</v>
      </c>
      <c r="AW21" s="78">
        <f t="shared" si="4"/>
        <v>0</v>
      </c>
      <c r="AX21" s="78">
        <f t="shared" si="4"/>
        <v>0</v>
      </c>
      <c r="AY21" s="78">
        <f t="shared" si="4"/>
        <v>0</v>
      </c>
      <c r="AZ21" s="78">
        <f t="shared" si="4"/>
        <v>0</v>
      </c>
      <c r="BA21" s="78">
        <f t="shared" si="4"/>
        <v>0</v>
      </c>
      <c r="BB21" s="78">
        <f t="shared" si="4"/>
        <v>0</v>
      </c>
      <c r="BC21" s="76"/>
    </row>
    <row r="22" spans="1:55" ht="14.25" customHeight="1">
      <c r="A22" s="113"/>
      <c r="E22" s="93"/>
      <c r="H22" s="93"/>
      <c r="I22" s="248" t="s">
        <v>51</v>
      </c>
      <c r="J22" s="81">
        <f t="shared" ref="J22:BB22" si="5">COUNTIFS($E$5:$E$14,$E21,J$5:J$14,"Censored")</f>
        <v>0</v>
      </c>
      <c r="K22" s="81">
        <f t="shared" si="5"/>
        <v>0</v>
      </c>
      <c r="L22" s="81">
        <f t="shared" si="5"/>
        <v>0</v>
      </c>
      <c r="M22" s="81">
        <f t="shared" si="5"/>
        <v>0</v>
      </c>
      <c r="N22" s="81">
        <f t="shared" si="5"/>
        <v>0</v>
      </c>
      <c r="O22" s="81">
        <f t="shared" si="5"/>
        <v>0</v>
      </c>
      <c r="P22" s="81">
        <f t="shared" si="5"/>
        <v>0</v>
      </c>
      <c r="Q22" s="81">
        <f t="shared" si="5"/>
        <v>0</v>
      </c>
      <c r="R22" s="81">
        <f t="shared" si="5"/>
        <v>0</v>
      </c>
      <c r="S22" s="81">
        <f t="shared" si="5"/>
        <v>0</v>
      </c>
      <c r="T22" s="81">
        <f t="shared" si="5"/>
        <v>0</v>
      </c>
      <c r="U22" s="81">
        <f t="shared" si="5"/>
        <v>0</v>
      </c>
      <c r="V22" s="81">
        <f t="shared" si="5"/>
        <v>0</v>
      </c>
      <c r="W22" s="81">
        <f t="shared" si="5"/>
        <v>0</v>
      </c>
      <c r="X22" s="81">
        <f t="shared" si="5"/>
        <v>0</v>
      </c>
      <c r="Y22" s="81">
        <f t="shared" si="5"/>
        <v>0</v>
      </c>
      <c r="Z22" s="81">
        <f t="shared" si="5"/>
        <v>0</v>
      </c>
      <c r="AA22" s="81">
        <f t="shared" si="5"/>
        <v>0</v>
      </c>
      <c r="AB22" s="81">
        <f t="shared" si="5"/>
        <v>0</v>
      </c>
      <c r="AC22" s="81">
        <f t="shared" si="5"/>
        <v>0</v>
      </c>
      <c r="AD22" s="81">
        <f t="shared" si="5"/>
        <v>0</v>
      </c>
      <c r="AE22" s="81">
        <f t="shared" si="5"/>
        <v>0</v>
      </c>
      <c r="AF22" s="81">
        <f t="shared" si="5"/>
        <v>0</v>
      </c>
      <c r="AG22" s="81">
        <f t="shared" si="5"/>
        <v>0</v>
      </c>
      <c r="AH22" s="81">
        <f t="shared" si="5"/>
        <v>0</v>
      </c>
      <c r="AI22" s="81">
        <f t="shared" si="5"/>
        <v>0</v>
      </c>
      <c r="AJ22" s="81">
        <f t="shared" si="5"/>
        <v>0</v>
      </c>
      <c r="AK22" s="81">
        <f t="shared" si="5"/>
        <v>0</v>
      </c>
      <c r="AL22" s="81">
        <f t="shared" si="5"/>
        <v>0</v>
      </c>
      <c r="AM22" s="81">
        <f t="shared" si="5"/>
        <v>0</v>
      </c>
      <c r="AN22" s="81">
        <f t="shared" si="5"/>
        <v>0</v>
      </c>
      <c r="AO22" s="81">
        <f t="shared" si="5"/>
        <v>0</v>
      </c>
      <c r="AP22" s="81">
        <f t="shared" si="5"/>
        <v>0</v>
      </c>
      <c r="AQ22" s="81">
        <f t="shared" si="5"/>
        <v>0</v>
      </c>
      <c r="AR22" s="81">
        <f t="shared" si="5"/>
        <v>0</v>
      </c>
      <c r="AS22" s="81">
        <f t="shared" si="5"/>
        <v>0</v>
      </c>
      <c r="AT22" s="81">
        <f t="shared" si="5"/>
        <v>0</v>
      </c>
      <c r="AU22" s="81">
        <f t="shared" si="5"/>
        <v>0</v>
      </c>
      <c r="AV22" s="81">
        <f t="shared" si="5"/>
        <v>0</v>
      </c>
      <c r="AW22" s="81">
        <f t="shared" si="5"/>
        <v>0</v>
      </c>
      <c r="AX22" s="81">
        <f t="shared" si="5"/>
        <v>0</v>
      </c>
      <c r="AY22" s="81">
        <f t="shared" si="5"/>
        <v>0</v>
      </c>
      <c r="AZ22" s="81">
        <f t="shared" si="5"/>
        <v>0</v>
      </c>
      <c r="BA22" s="81">
        <f t="shared" si="5"/>
        <v>0</v>
      </c>
      <c r="BB22" s="81">
        <f t="shared" si="5"/>
        <v>0</v>
      </c>
      <c r="BC22" s="76"/>
    </row>
    <row r="23" spans="1:55" ht="14.25" customHeight="1">
      <c r="E23" s="301"/>
      <c r="H23" s="93"/>
      <c r="I23" s="248" t="s">
        <v>53</v>
      </c>
      <c r="J23" s="74">
        <f>J21/(COUNTIFS($E$5:$E$14,$E21,J$5:J$14,"Alive")+COUNTIFS($E$5:$E$14,$E21,J$5:J$14,"Sacrificed")+COUNTIFS($E$5:$E$14,$E21,J$5:J$14,"Died"))</f>
        <v>1</v>
      </c>
      <c r="K23" s="74">
        <f t="shared" ref="K23:BB23" si="6">K21/(COUNTIFS($E$5:$E$14,$E21,K$5:K$14,"Alive")+COUNTIFS($E$5:$E$14,$E21,K$5:K$14,"Sacrificed")+COUNTIFS($E$5:$E$14,$E21,K$5:K$14,"Died"))*J23</f>
        <v>1</v>
      </c>
      <c r="L23" s="74">
        <f t="shared" si="6"/>
        <v>1</v>
      </c>
      <c r="M23" s="74">
        <f t="shared" si="6"/>
        <v>1</v>
      </c>
      <c r="N23" s="74">
        <f t="shared" si="6"/>
        <v>1</v>
      </c>
      <c r="O23" s="74">
        <f t="shared" si="6"/>
        <v>1</v>
      </c>
      <c r="P23" s="74">
        <f t="shared" si="6"/>
        <v>1</v>
      </c>
      <c r="Q23" s="74">
        <f t="shared" si="6"/>
        <v>1</v>
      </c>
      <c r="R23" s="74">
        <f t="shared" si="6"/>
        <v>1</v>
      </c>
      <c r="S23" s="74">
        <f t="shared" si="6"/>
        <v>1</v>
      </c>
      <c r="T23" s="74">
        <f t="shared" si="6"/>
        <v>1</v>
      </c>
      <c r="U23" s="74">
        <f t="shared" si="6"/>
        <v>1</v>
      </c>
      <c r="V23" s="74">
        <f t="shared" si="6"/>
        <v>1</v>
      </c>
      <c r="W23" s="74">
        <f t="shared" si="6"/>
        <v>1</v>
      </c>
      <c r="X23" s="74">
        <f t="shared" si="6"/>
        <v>1</v>
      </c>
      <c r="Y23" s="74">
        <f t="shared" si="6"/>
        <v>1</v>
      </c>
      <c r="Z23" s="74">
        <f t="shared" si="6"/>
        <v>1</v>
      </c>
      <c r="AA23" s="74">
        <f t="shared" si="6"/>
        <v>0.5</v>
      </c>
      <c r="AB23" s="74">
        <f t="shared" si="6"/>
        <v>0.5</v>
      </c>
      <c r="AC23" s="74">
        <f t="shared" si="6"/>
        <v>0.5</v>
      </c>
      <c r="AD23" s="74">
        <f t="shared" si="6"/>
        <v>0.5</v>
      </c>
      <c r="AE23" s="74">
        <f t="shared" si="6"/>
        <v>0.5</v>
      </c>
      <c r="AF23" s="74">
        <f t="shared" si="6"/>
        <v>0.5</v>
      </c>
      <c r="AG23" s="74">
        <f t="shared" si="6"/>
        <v>0</v>
      </c>
      <c r="AH23" s="74" t="e">
        <f t="shared" si="6"/>
        <v>#DIV/0!</v>
      </c>
      <c r="AI23" s="74" t="e">
        <f t="shared" si="6"/>
        <v>#DIV/0!</v>
      </c>
      <c r="AJ23" s="74" t="e">
        <f t="shared" si="6"/>
        <v>#DIV/0!</v>
      </c>
      <c r="AK23" s="74" t="e">
        <f t="shared" si="6"/>
        <v>#DIV/0!</v>
      </c>
      <c r="AL23" s="74" t="e">
        <f t="shared" si="6"/>
        <v>#DIV/0!</v>
      </c>
      <c r="AM23" s="74" t="e">
        <f t="shared" si="6"/>
        <v>#DIV/0!</v>
      </c>
      <c r="AN23" s="74" t="e">
        <f t="shared" si="6"/>
        <v>#DIV/0!</v>
      </c>
      <c r="AO23" s="74" t="e">
        <f t="shared" si="6"/>
        <v>#DIV/0!</v>
      </c>
      <c r="AP23" s="74" t="e">
        <f t="shared" si="6"/>
        <v>#DIV/0!</v>
      </c>
      <c r="AQ23" s="74" t="e">
        <f t="shared" si="6"/>
        <v>#DIV/0!</v>
      </c>
      <c r="AR23" s="74" t="e">
        <f t="shared" si="6"/>
        <v>#DIV/0!</v>
      </c>
      <c r="AS23" s="74" t="e">
        <f t="shared" si="6"/>
        <v>#DIV/0!</v>
      </c>
      <c r="AT23" s="74" t="e">
        <f t="shared" si="6"/>
        <v>#DIV/0!</v>
      </c>
      <c r="AU23" s="74" t="e">
        <f t="shared" si="6"/>
        <v>#DIV/0!</v>
      </c>
      <c r="AV23" s="74" t="e">
        <f t="shared" si="6"/>
        <v>#DIV/0!</v>
      </c>
      <c r="AW23" s="74" t="e">
        <f t="shared" si="6"/>
        <v>#DIV/0!</v>
      </c>
      <c r="AX23" s="74" t="e">
        <f t="shared" si="6"/>
        <v>#DIV/0!</v>
      </c>
      <c r="AY23" s="74" t="e">
        <f t="shared" si="6"/>
        <v>#DIV/0!</v>
      </c>
      <c r="AZ23" s="74" t="e">
        <f t="shared" si="6"/>
        <v>#DIV/0!</v>
      </c>
      <c r="BA23" s="74" t="e">
        <f t="shared" si="6"/>
        <v>#DIV/0!</v>
      </c>
      <c r="BB23" s="74" t="e">
        <f t="shared" si="6"/>
        <v>#DIV/0!</v>
      </c>
      <c r="BC23" s="3"/>
    </row>
    <row r="25" spans="1:55" ht="14.25" customHeight="1">
      <c r="A25" s="113"/>
      <c r="E25" s="118" t="str">
        <f>'AsPc1 REPEAT Groups'!C7</f>
        <v>AsPc-1 - CP-PTX Combo</v>
      </c>
      <c r="H25" s="118" t="str">
        <f>E25</f>
        <v>AsPc-1 - CP-PTX Combo</v>
      </c>
      <c r="I25" s="248" t="s">
        <v>52</v>
      </c>
      <c r="J25" s="78">
        <f t="shared" ref="J25:BB25" si="7">COUNTIFS($E$5:$E$14,$E25,J$5:J$14,"Alive")</f>
        <v>7</v>
      </c>
      <c r="K25" s="78">
        <f t="shared" si="7"/>
        <v>7</v>
      </c>
      <c r="L25" s="78">
        <f t="shared" si="7"/>
        <v>7</v>
      </c>
      <c r="M25" s="78">
        <f t="shared" si="7"/>
        <v>7</v>
      </c>
      <c r="N25" s="78">
        <f t="shared" si="7"/>
        <v>7</v>
      </c>
      <c r="O25" s="78">
        <f t="shared" si="7"/>
        <v>7</v>
      </c>
      <c r="P25" s="78">
        <f t="shared" si="7"/>
        <v>7</v>
      </c>
      <c r="Q25" s="78">
        <f t="shared" si="7"/>
        <v>7</v>
      </c>
      <c r="R25" s="78">
        <f t="shared" si="7"/>
        <v>7</v>
      </c>
      <c r="S25" s="78">
        <f t="shared" si="7"/>
        <v>7</v>
      </c>
      <c r="T25" s="78">
        <f t="shared" si="7"/>
        <v>7</v>
      </c>
      <c r="U25" s="78">
        <f t="shared" si="7"/>
        <v>7</v>
      </c>
      <c r="V25" s="78">
        <f t="shared" si="7"/>
        <v>7</v>
      </c>
      <c r="W25" s="78">
        <f t="shared" si="7"/>
        <v>7</v>
      </c>
      <c r="X25" s="78">
        <f t="shared" si="7"/>
        <v>7</v>
      </c>
      <c r="Y25" s="78">
        <f t="shared" si="7"/>
        <v>7</v>
      </c>
      <c r="Z25" s="78">
        <f t="shared" si="7"/>
        <v>7</v>
      </c>
      <c r="AA25" s="78">
        <f t="shared" si="7"/>
        <v>7</v>
      </c>
      <c r="AB25" s="78">
        <f t="shared" si="7"/>
        <v>7</v>
      </c>
      <c r="AC25" s="78">
        <f t="shared" si="7"/>
        <v>7</v>
      </c>
      <c r="AD25" s="78">
        <f t="shared" si="7"/>
        <v>7</v>
      </c>
      <c r="AE25" s="78">
        <f t="shared" si="7"/>
        <v>7</v>
      </c>
      <c r="AF25" s="78">
        <f t="shared" si="7"/>
        <v>7</v>
      </c>
      <c r="AG25" s="78">
        <f t="shared" si="7"/>
        <v>7</v>
      </c>
      <c r="AH25" s="78">
        <f t="shared" si="7"/>
        <v>7</v>
      </c>
      <c r="AI25" s="78">
        <f t="shared" si="7"/>
        <v>7</v>
      </c>
      <c r="AJ25" s="78">
        <f t="shared" si="7"/>
        <v>7</v>
      </c>
      <c r="AK25" s="78">
        <f t="shared" si="7"/>
        <v>7</v>
      </c>
      <c r="AL25" s="78">
        <f t="shared" si="7"/>
        <v>6</v>
      </c>
      <c r="AM25" s="78">
        <f t="shared" si="7"/>
        <v>6</v>
      </c>
      <c r="AN25" s="78">
        <f t="shared" si="7"/>
        <v>6</v>
      </c>
      <c r="AO25" s="78">
        <f t="shared" si="7"/>
        <v>6</v>
      </c>
      <c r="AP25" s="78">
        <f t="shared" si="7"/>
        <v>6</v>
      </c>
      <c r="AQ25" s="78">
        <f t="shared" si="7"/>
        <v>4</v>
      </c>
      <c r="AR25" s="78">
        <f t="shared" si="7"/>
        <v>4</v>
      </c>
      <c r="AS25" s="78">
        <f t="shared" si="7"/>
        <v>4</v>
      </c>
      <c r="AT25" s="78">
        <f t="shared" si="7"/>
        <v>4</v>
      </c>
      <c r="AU25" s="78">
        <f t="shared" si="7"/>
        <v>4</v>
      </c>
      <c r="AV25" s="78">
        <f t="shared" si="7"/>
        <v>3</v>
      </c>
      <c r="AW25" s="78">
        <f t="shared" si="7"/>
        <v>3</v>
      </c>
      <c r="AX25" s="78">
        <f t="shared" si="7"/>
        <v>3</v>
      </c>
      <c r="AY25" s="78">
        <f t="shared" si="7"/>
        <v>3</v>
      </c>
      <c r="AZ25" s="78">
        <f t="shared" si="7"/>
        <v>2</v>
      </c>
      <c r="BA25" s="78">
        <f t="shared" si="7"/>
        <v>2</v>
      </c>
      <c r="BB25" s="78">
        <f t="shared" si="7"/>
        <v>0</v>
      </c>
      <c r="BC25" s="76"/>
    </row>
    <row r="26" spans="1:55" ht="14.25" customHeight="1">
      <c r="A26" s="113"/>
      <c r="E26" s="93"/>
      <c r="H26" s="93"/>
      <c r="I26" s="248" t="s">
        <v>51</v>
      </c>
      <c r="J26" s="81">
        <f t="shared" ref="J26:BB26" si="8">COUNTIFS($E$5:$E$14,$E25,J$5:J$14,"Censored")</f>
        <v>0</v>
      </c>
      <c r="K26" s="81">
        <f t="shared" si="8"/>
        <v>0</v>
      </c>
      <c r="L26" s="81">
        <f t="shared" si="8"/>
        <v>0</v>
      </c>
      <c r="M26" s="81">
        <f t="shared" si="8"/>
        <v>0</v>
      </c>
      <c r="N26" s="81">
        <f t="shared" si="8"/>
        <v>0</v>
      </c>
      <c r="O26" s="81">
        <f t="shared" si="8"/>
        <v>0</v>
      </c>
      <c r="P26" s="81">
        <f t="shared" si="8"/>
        <v>0</v>
      </c>
      <c r="Q26" s="81">
        <f t="shared" si="8"/>
        <v>0</v>
      </c>
      <c r="R26" s="81">
        <f t="shared" si="8"/>
        <v>0</v>
      </c>
      <c r="S26" s="81">
        <f t="shared" si="8"/>
        <v>0</v>
      </c>
      <c r="T26" s="81">
        <f t="shared" si="8"/>
        <v>0</v>
      </c>
      <c r="U26" s="81">
        <f t="shared" si="8"/>
        <v>0</v>
      </c>
      <c r="V26" s="81">
        <f t="shared" si="8"/>
        <v>0</v>
      </c>
      <c r="W26" s="81">
        <f t="shared" si="8"/>
        <v>0</v>
      </c>
      <c r="X26" s="81">
        <f t="shared" si="8"/>
        <v>0</v>
      </c>
      <c r="Y26" s="81">
        <f t="shared" si="8"/>
        <v>0</v>
      </c>
      <c r="Z26" s="81">
        <f t="shared" si="8"/>
        <v>0</v>
      </c>
      <c r="AA26" s="81">
        <f t="shared" si="8"/>
        <v>0</v>
      </c>
      <c r="AB26" s="81">
        <f t="shared" si="8"/>
        <v>0</v>
      </c>
      <c r="AC26" s="81">
        <f t="shared" si="8"/>
        <v>0</v>
      </c>
      <c r="AD26" s="81">
        <f t="shared" si="8"/>
        <v>0</v>
      </c>
      <c r="AE26" s="81">
        <f t="shared" si="8"/>
        <v>0</v>
      </c>
      <c r="AF26" s="81">
        <f t="shared" si="8"/>
        <v>0</v>
      </c>
      <c r="AG26" s="81">
        <f t="shared" si="8"/>
        <v>0</v>
      </c>
      <c r="AH26" s="81">
        <f t="shared" si="8"/>
        <v>0</v>
      </c>
      <c r="AI26" s="81">
        <f t="shared" si="8"/>
        <v>0</v>
      </c>
      <c r="AJ26" s="81">
        <f t="shared" si="8"/>
        <v>0</v>
      </c>
      <c r="AK26" s="81">
        <f t="shared" si="8"/>
        <v>0</v>
      </c>
      <c r="AL26" s="81">
        <f t="shared" si="8"/>
        <v>0</v>
      </c>
      <c r="AM26" s="81">
        <f t="shared" si="8"/>
        <v>0</v>
      </c>
      <c r="AN26" s="81">
        <f t="shared" si="8"/>
        <v>0</v>
      </c>
      <c r="AO26" s="81">
        <f t="shared" si="8"/>
        <v>0</v>
      </c>
      <c r="AP26" s="81">
        <f t="shared" si="8"/>
        <v>0</v>
      </c>
      <c r="AQ26" s="81">
        <f t="shared" si="8"/>
        <v>0</v>
      </c>
      <c r="AR26" s="81">
        <f t="shared" si="8"/>
        <v>0</v>
      </c>
      <c r="AS26" s="81">
        <f t="shared" si="8"/>
        <v>0</v>
      </c>
      <c r="AT26" s="81">
        <f t="shared" si="8"/>
        <v>0</v>
      </c>
      <c r="AU26" s="81">
        <f t="shared" si="8"/>
        <v>0</v>
      </c>
      <c r="AV26" s="81">
        <f t="shared" si="8"/>
        <v>0</v>
      </c>
      <c r="AW26" s="81">
        <f t="shared" si="8"/>
        <v>0</v>
      </c>
      <c r="AX26" s="81">
        <f t="shared" si="8"/>
        <v>0</v>
      </c>
      <c r="AY26" s="81">
        <f t="shared" si="8"/>
        <v>0</v>
      </c>
      <c r="AZ26" s="81">
        <f t="shared" si="8"/>
        <v>0</v>
      </c>
      <c r="BA26" s="81">
        <f t="shared" si="8"/>
        <v>0</v>
      </c>
      <c r="BB26" s="81">
        <f t="shared" si="8"/>
        <v>0</v>
      </c>
      <c r="BC26" s="76"/>
    </row>
    <row r="27" spans="1:55" ht="14.25" customHeight="1">
      <c r="E27" s="301"/>
      <c r="H27" s="93"/>
      <c r="I27" s="248" t="s">
        <v>53</v>
      </c>
      <c r="J27" s="74">
        <f>J25/(COUNTIFS($E$5:$E$14,$E25,J$5:J$14,"Alive")+COUNTIFS($E$5:$E$14,$E25,J$5:J$14,"Sacrificed")+COUNTIFS($E$5:$E$14,$E25,J$5:J$14,"Died"))</f>
        <v>1</v>
      </c>
      <c r="K27" s="74">
        <f t="shared" ref="K27:BB27" si="9">K25/(COUNTIFS($E$5:$E$14,$E25,K$5:K$14,"Alive")+COUNTIFS($E$5:$E$14,$E25,K$5:K$14,"Sacrificed")+COUNTIFS($E$5:$E$14,$E25,K$5:K$14,"Died"))*J27</f>
        <v>1</v>
      </c>
      <c r="L27" s="74">
        <f t="shared" si="9"/>
        <v>1</v>
      </c>
      <c r="M27" s="74">
        <f t="shared" si="9"/>
        <v>1</v>
      </c>
      <c r="N27" s="74">
        <f t="shared" si="9"/>
        <v>1</v>
      </c>
      <c r="O27" s="74">
        <f t="shared" si="9"/>
        <v>1</v>
      </c>
      <c r="P27" s="74">
        <f t="shared" si="9"/>
        <v>1</v>
      </c>
      <c r="Q27" s="74">
        <f t="shared" si="9"/>
        <v>1</v>
      </c>
      <c r="R27" s="74">
        <f t="shared" si="9"/>
        <v>1</v>
      </c>
      <c r="S27" s="74">
        <f t="shared" si="9"/>
        <v>1</v>
      </c>
      <c r="T27" s="74">
        <f t="shared" si="9"/>
        <v>1</v>
      </c>
      <c r="U27" s="74">
        <f t="shared" si="9"/>
        <v>1</v>
      </c>
      <c r="V27" s="74">
        <f t="shared" si="9"/>
        <v>1</v>
      </c>
      <c r="W27" s="74">
        <f t="shared" si="9"/>
        <v>1</v>
      </c>
      <c r="X27" s="74">
        <f t="shared" si="9"/>
        <v>1</v>
      </c>
      <c r="Y27" s="74">
        <f t="shared" si="9"/>
        <v>1</v>
      </c>
      <c r="Z27" s="74">
        <f t="shared" si="9"/>
        <v>1</v>
      </c>
      <c r="AA27" s="74">
        <f t="shared" si="9"/>
        <v>1</v>
      </c>
      <c r="AB27" s="74">
        <f t="shared" si="9"/>
        <v>1</v>
      </c>
      <c r="AC27" s="74">
        <f t="shared" si="9"/>
        <v>1</v>
      </c>
      <c r="AD27" s="74">
        <f t="shared" si="9"/>
        <v>1</v>
      </c>
      <c r="AE27" s="74">
        <f t="shared" si="9"/>
        <v>1</v>
      </c>
      <c r="AF27" s="74">
        <f t="shared" si="9"/>
        <v>1</v>
      </c>
      <c r="AG27" s="74">
        <f t="shared" si="9"/>
        <v>1</v>
      </c>
      <c r="AH27" s="74">
        <f t="shared" si="9"/>
        <v>1</v>
      </c>
      <c r="AI27" s="74">
        <f t="shared" si="9"/>
        <v>1</v>
      </c>
      <c r="AJ27" s="74">
        <f t="shared" si="9"/>
        <v>1</v>
      </c>
      <c r="AK27" s="74">
        <f t="shared" si="9"/>
        <v>1</v>
      </c>
      <c r="AL27" s="74">
        <f t="shared" si="9"/>
        <v>0.8571428571428571</v>
      </c>
      <c r="AM27" s="74">
        <f t="shared" si="9"/>
        <v>0.8571428571428571</v>
      </c>
      <c r="AN27" s="74">
        <f t="shared" si="9"/>
        <v>0.8571428571428571</v>
      </c>
      <c r="AO27" s="74">
        <f t="shared" si="9"/>
        <v>0.8571428571428571</v>
      </c>
      <c r="AP27" s="74">
        <f t="shared" si="9"/>
        <v>0.8571428571428571</v>
      </c>
      <c r="AQ27" s="74">
        <f t="shared" si="9"/>
        <v>0.5714285714285714</v>
      </c>
      <c r="AR27" s="74">
        <f t="shared" si="9"/>
        <v>0.5714285714285714</v>
      </c>
      <c r="AS27" s="74">
        <f t="shared" si="9"/>
        <v>0.5714285714285714</v>
      </c>
      <c r="AT27" s="74">
        <f t="shared" si="9"/>
        <v>0.5714285714285714</v>
      </c>
      <c r="AU27" s="74">
        <f t="shared" si="9"/>
        <v>0.5714285714285714</v>
      </c>
      <c r="AV27" s="74">
        <f t="shared" si="9"/>
        <v>0.42857142857142855</v>
      </c>
      <c r="AW27" s="74">
        <f t="shared" si="9"/>
        <v>0.42857142857142855</v>
      </c>
      <c r="AX27" s="74">
        <f t="shared" si="9"/>
        <v>0.42857142857142855</v>
      </c>
      <c r="AY27" s="74">
        <f t="shared" si="9"/>
        <v>0.42857142857142855</v>
      </c>
      <c r="AZ27" s="74">
        <f t="shared" si="9"/>
        <v>0.2857142857142857</v>
      </c>
      <c r="BA27" s="74">
        <f t="shared" si="9"/>
        <v>0.2857142857142857</v>
      </c>
      <c r="BB27" s="74">
        <f t="shared" si="9"/>
        <v>0</v>
      </c>
      <c r="BC27" s="3"/>
    </row>
    <row r="29" spans="1:55" ht="14.25" customHeight="1">
      <c r="A29" s="113"/>
      <c r="E29" s="118" t="str">
        <f>'AsPc1 REPEAT Groups'!C8</f>
        <v>Excluded</v>
      </c>
      <c r="H29" s="118" t="str">
        <f>E29</f>
        <v>Excluded</v>
      </c>
      <c r="I29" s="248" t="s">
        <v>52</v>
      </c>
      <c r="J29" s="78">
        <f t="shared" ref="J29:BB29" si="10">COUNTIFS($E$5:$E$14,$E29,J$5:J$14,"Alive")</f>
        <v>1</v>
      </c>
      <c r="K29" s="78">
        <f t="shared" si="10"/>
        <v>1</v>
      </c>
      <c r="L29" s="78">
        <f t="shared" si="10"/>
        <v>1</v>
      </c>
      <c r="M29" s="78">
        <f t="shared" si="10"/>
        <v>0</v>
      </c>
      <c r="N29" s="78">
        <f t="shared" si="10"/>
        <v>0</v>
      </c>
      <c r="O29" s="78">
        <f t="shared" si="10"/>
        <v>0</v>
      </c>
      <c r="P29" s="78">
        <f t="shared" si="10"/>
        <v>0</v>
      </c>
      <c r="Q29" s="78">
        <f t="shared" si="10"/>
        <v>0</v>
      </c>
      <c r="R29" s="78">
        <f t="shared" si="10"/>
        <v>0</v>
      </c>
      <c r="S29" s="78">
        <f t="shared" si="10"/>
        <v>0</v>
      </c>
      <c r="T29" s="78">
        <f t="shared" si="10"/>
        <v>0</v>
      </c>
      <c r="U29" s="78">
        <f t="shared" si="10"/>
        <v>0</v>
      </c>
      <c r="V29" s="78">
        <f t="shared" si="10"/>
        <v>0</v>
      </c>
      <c r="W29" s="78">
        <f t="shared" si="10"/>
        <v>0</v>
      </c>
      <c r="X29" s="78">
        <f t="shared" si="10"/>
        <v>0</v>
      </c>
      <c r="Y29" s="78">
        <f t="shared" si="10"/>
        <v>0</v>
      </c>
      <c r="Z29" s="78">
        <f t="shared" si="10"/>
        <v>0</v>
      </c>
      <c r="AA29" s="78">
        <f t="shared" si="10"/>
        <v>0</v>
      </c>
      <c r="AB29" s="78">
        <f t="shared" si="10"/>
        <v>0</v>
      </c>
      <c r="AC29" s="78">
        <f t="shared" si="10"/>
        <v>0</v>
      </c>
      <c r="AD29" s="78">
        <f t="shared" si="10"/>
        <v>0</v>
      </c>
      <c r="AE29" s="78">
        <f t="shared" si="10"/>
        <v>0</v>
      </c>
      <c r="AF29" s="78">
        <f t="shared" si="10"/>
        <v>0</v>
      </c>
      <c r="AG29" s="78">
        <f t="shared" si="10"/>
        <v>0</v>
      </c>
      <c r="AH29" s="78">
        <f t="shared" si="10"/>
        <v>0</v>
      </c>
      <c r="AI29" s="78">
        <f t="shared" si="10"/>
        <v>0</v>
      </c>
      <c r="AJ29" s="78">
        <f t="shared" si="10"/>
        <v>0</v>
      </c>
      <c r="AK29" s="78">
        <f t="shared" si="10"/>
        <v>0</v>
      </c>
      <c r="AL29" s="78">
        <f t="shared" si="10"/>
        <v>0</v>
      </c>
      <c r="AM29" s="78">
        <f t="shared" si="10"/>
        <v>0</v>
      </c>
      <c r="AN29" s="78">
        <f t="shared" si="10"/>
        <v>0</v>
      </c>
      <c r="AO29" s="78">
        <f t="shared" si="10"/>
        <v>0</v>
      </c>
      <c r="AP29" s="78">
        <f t="shared" si="10"/>
        <v>0</v>
      </c>
      <c r="AQ29" s="78">
        <f t="shared" si="10"/>
        <v>0</v>
      </c>
      <c r="AR29" s="78">
        <f t="shared" si="10"/>
        <v>0</v>
      </c>
      <c r="AS29" s="78">
        <f t="shared" si="10"/>
        <v>0</v>
      </c>
      <c r="AT29" s="78">
        <f t="shared" si="10"/>
        <v>0</v>
      </c>
      <c r="AU29" s="78">
        <f t="shared" si="10"/>
        <v>0</v>
      </c>
      <c r="AV29" s="78">
        <f t="shared" si="10"/>
        <v>0</v>
      </c>
      <c r="AW29" s="78">
        <f t="shared" si="10"/>
        <v>0</v>
      </c>
      <c r="AX29" s="78">
        <f t="shared" si="10"/>
        <v>0</v>
      </c>
      <c r="AY29" s="78">
        <f t="shared" si="10"/>
        <v>0</v>
      </c>
      <c r="AZ29" s="78">
        <f t="shared" si="10"/>
        <v>0</v>
      </c>
      <c r="BA29" s="78">
        <f t="shared" si="10"/>
        <v>0</v>
      </c>
      <c r="BB29" s="78">
        <f t="shared" si="10"/>
        <v>0</v>
      </c>
      <c r="BC29" s="76"/>
    </row>
    <row r="30" spans="1:55" ht="14.25" customHeight="1">
      <c r="A30" s="113"/>
      <c r="E30" s="93"/>
      <c r="H30" s="93"/>
      <c r="I30" s="248" t="s">
        <v>51</v>
      </c>
      <c r="J30" s="81">
        <f t="shared" ref="J30:BB30" si="11">COUNTIFS($E$5:$E$14,$E29,J$5:J$14,"Censored")</f>
        <v>0</v>
      </c>
      <c r="K30" s="81">
        <f t="shared" si="11"/>
        <v>0</v>
      </c>
      <c r="L30" s="81">
        <f t="shared" si="11"/>
        <v>0</v>
      </c>
      <c r="M30" s="81">
        <f t="shared" si="11"/>
        <v>0</v>
      </c>
      <c r="N30" s="81">
        <f t="shared" si="11"/>
        <v>0</v>
      </c>
      <c r="O30" s="81">
        <f t="shared" si="11"/>
        <v>0</v>
      </c>
      <c r="P30" s="81">
        <f t="shared" si="11"/>
        <v>0</v>
      </c>
      <c r="Q30" s="81">
        <f t="shared" si="11"/>
        <v>0</v>
      </c>
      <c r="R30" s="81">
        <f t="shared" si="11"/>
        <v>0</v>
      </c>
      <c r="S30" s="81">
        <f t="shared" si="11"/>
        <v>0</v>
      </c>
      <c r="T30" s="81">
        <f t="shared" si="11"/>
        <v>0</v>
      </c>
      <c r="U30" s="81">
        <f t="shared" si="11"/>
        <v>0</v>
      </c>
      <c r="V30" s="81">
        <f t="shared" si="11"/>
        <v>0</v>
      </c>
      <c r="W30" s="81">
        <f t="shared" si="11"/>
        <v>0</v>
      </c>
      <c r="X30" s="81">
        <f t="shared" si="11"/>
        <v>0</v>
      </c>
      <c r="Y30" s="81">
        <f t="shared" si="11"/>
        <v>0</v>
      </c>
      <c r="Z30" s="81">
        <f t="shared" si="11"/>
        <v>0</v>
      </c>
      <c r="AA30" s="81">
        <f t="shared" si="11"/>
        <v>0</v>
      </c>
      <c r="AB30" s="81">
        <f t="shared" si="11"/>
        <v>0</v>
      </c>
      <c r="AC30" s="81">
        <f t="shared" si="11"/>
        <v>0</v>
      </c>
      <c r="AD30" s="81">
        <f t="shared" si="11"/>
        <v>0</v>
      </c>
      <c r="AE30" s="81">
        <f t="shared" si="11"/>
        <v>0</v>
      </c>
      <c r="AF30" s="81">
        <f t="shared" si="11"/>
        <v>0</v>
      </c>
      <c r="AG30" s="81">
        <f t="shared" si="11"/>
        <v>0</v>
      </c>
      <c r="AH30" s="81">
        <f t="shared" si="11"/>
        <v>0</v>
      </c>
      <c r="AI30" s="81">
        <f t="shared" si="11"/>
        <v>0</v>
      </c>
      <c r="AJ30" s="81">
        <f t="shared" si="11"/>
        <v>0</v>
      </c>
      <c r="AK30" s="81">
        <f t="shared" si="11"/>
        <v>0</v>
      </c>
      <c r="AL30" s="81">
        <f t="shared" si="11"/>
        <v>0</v>
      </c>
      <c r="AM30" s="81">
        <f t="shared" si="11"/>
        <v>0</v>
      </c>
      <c r="AN30" s="81">
        <f t="shared" si="11"/>
        <v>0</v>
      </c>
      <c r="AO30" s="81">
        <f t="shared" si="11"/>
        <v>0</v>
      </c>
      <c r="AP30" s="81">
        <f t="shared" si="11"/>
        <v>0</v>
      </c>
      <c r="AQ30" s="81">
        <f t="shared" si="11"/>
        <v>0</v>
      </c>
      <c r="AR30" s="81">
        <f t="shared" si="11"/>
        <v>0</v>
      </c>
      <c r="AS30" s="81">
        <f t="shared" si="11"/>
        <v>0</v>
      </c>
      <c r="AT30" s="81">
        <f t="shared" si="11"/>
        <v>0</v>
      </c>
      <c r="AU30" s="81">
        <f t="shared" si="11"/>
        <v>0</v>
      </c>
      <c r="AV30" s="81">
        <f t="shared" si="11"/>
        <v>0</v>
      </c>
      <c r="AW30" s="81">
        <f t="shared" si="11"/>
        <v>0</v>
      </c>
      <c r="AX30" s="81">
        <f t="shared" si="11"/>
        <v>0</v>
      </c>
      <c r="AY30" s="81">
        <f t="shared" si="11"/>
        <v>0</v>
      </c>
      <c r="AZ30" s="81">
        <f t="shared" si="11"/>
        <v>0</v>
      </c>
      <c r="BA30" s="81">
        <f t="shared" si="11"/>
        <v>0</v>
      </c>
      <c r="BB30" s="81">
        <f t="shared" si="11"/>
        <v>0</v>
      </c>
      <c r="BC30" s="76"/>
    </row>
    <row r="31" spans="1:55" ht="14.25" customHeight="1">
      <c r="E31" s="301"/>
      <c r="H31" s="93"/>
      <c r="I31" s="248" t="s">
        <v>53</v>
      </c>
      <c r="J31" s="74">
        <f>J29/(COUNTIFS($E$5:$E$14,$E29,J$5:J$14,"Alive")+COUNTIFS($E$5:$E$14,$E29,J$5:J$14,"Sacrificed")+COUNTIFS($E$5:$E$14,$E29,J$5:J$14,"Died"))</f>
        <v>1</v>
      </c>
      <c r="K31" s="74">
        <f t="shared" ref="K31:BB31" si="12">K29/(COUNTIFS($E$5:$E$14,$E29,K$5:K$14,"Alive")+COUNTIFS($E$5:$E$14,$E29,K$5:K$14,"Sacrificed")+COUNTIFS($E$5:$E$14,$E29,K$5:K$14,"Died"))*J31</f>
        <v>1</v>
      </c>
      <c r="L31" s="74">
        <f t="shared" si="12"/>
        <v>1</v>
      </c>
      <c r="M31" s="74">
        <f t="shared" si="12"/>
        <v>0</v>
      </c>
      <c r="N31" s="74" t="e">
        <f t="shared" si="12"/>
        <v>#DIV/0!</v>
      </c>
      <c r="O31" s="74" t="e">
        <f t="shared" si="12"/>
        <v>#DIV/0!</v>
      </c>
      <c r="P31" s="74" t="e">
        <f t="shared" si="12"/>
        <v>#DIV/0!</v>
      </c>
      <c r="Q31" s="74" t="e">
        <f t="shared" si="12"/>
        <v>#DIV/0!</v>
      </c>
      <c r="R31" s="74" t="e">
        <f t="shared" si="12"/>
        <v>#DIV/0!</v>
      </c>
      <c r="S31" s="74" t="e">
        <f t="shared" si="12"/>
        <v>#DIV/0!</v>
      </c>
      <c r="T31" s="74" t="e">
        <f t="shared" si="12"/>
        <v>#DIV/0!</v>
      </c>
      <c r="U31" s="74" t="e">
        <f t="shared" si="12"/>
        <v>#DIV/0!</v>
      </c>
      <c r="V31" s="74" t="e">
        <f t="shared" si="12"/>
        <v>#DIV/0!</v>
      </c>
      <c r="W31" s="74" t="e">
        <f t="shared" si="12"/>
        <v>#DIV/0!</v>
      </c>
      <c r="X31" s="74" t="e">
        <f t="shared" si="12"/>
        <v>#DIV/0!</v>
      </c>
      <c r="Y31" s="74" t="e">
        <f t="shared" si="12"/>
        <v>#DIV/0!</v>
      </c>
      <c r="Z31" s="74" t="e">
        <f t="shared" si="12"/>
        <v>#DIV/0!</v>
      </c>
      <c r="AA31" s="74" t="e">
        <f t="shared" si="12"/>
        <v>#DIV/0!</v>
      </c>
      <c r="AB31" s="74" t="e">
        <f t="shared" si="12"/>
        <v>#DIV/0!</v>
      </c>
      <c r="AC31" s="74" t="e">
        <f t="shared" si="12"/>
        <v>#DIV/0!</v>
      </c>
      <c r="AD31" s="74" t="e">
        <f t="shared" si="12"/>
        <v>#DIV/0!</v>
      </c>
      <c r="AE31" s="74" t="e">
        <f t="shared" si="12"/>
        <v>#DIV/0!</v>
      </c>
      <c r="AF31" s="74" t="e">
        <f t="shared" si="12"/>
        <v>#DIV/0!</v>
      </c>
      <c r="AG31" s="74" t="e">
        <f t="shared" si="12"/>
        <v>#DIV/0!</v>
      </c>
      <c r="AH31" s="74" t="e">
        <f t="shared" si="12"/>
        <v>#DIV/0!</v>
      </c>
      <c r="AI31" s="74" t="e">
        <f t="shared" si="12"/>
        <v>#DIV/0!</v>
      </c>
      <c r="AJ31" s="74" t="e">
        <f t="shared" si="12"/>
        <v>#DIV/0!</v>
      </c>
      <c r="AK31" s="74" t="e">
        <f t="shared" si="12"/>
        <v>#DIV/0!</v>
      </c>
      <c r="AL31" s="74" t="e">
        <f t="shared" si="12"/>
        <v>#DIV/0!</v>
      </c>
      <c r="AM31" s="74" t="e">
        <f t="shared" si="12"/>
        <v>#DIV/0!</v>
      </c>
      <c r="AN31" s="74" t="e">
        <f t="shared" si="12"/>
        <v>#DIV/0!</v>
      </c>
      <c r="AO31" s="74" t="e">
        <f t="shared" si="12"/>
        <v>#DIV/0!</v>
      </c>
      <c r="AP31" s="74" t="e">
        <f t="shared" si="12"/>
        <v>#DIV/0!</v>
      </c>
      <c r="AQ31" s="74" t="e">
        <f t="shared" si="12"/>
        <v>#DIV/0!</v>
      </c>
      <c r="AR31" s="74" t="e">
        <f t="shared" si="12"/>
        <v>#DIV/0!</v>
      </c>
      <c r="AS31" s="74" t="e">
        <f t="shared" si="12"/>
        <v>#DIV/0!</v>
      </c>
      <c r="AT31" s="74" t="e">
        <f t="shared" si="12"/>
        <v>#DIV/0!</v>
      </c>
      <c r="AU31" s="74" t="e">
        <f t="shared" si="12"/>
        <v>#DIV/0!</v>
      </c>
      <c r="AV31" s="74" t="e">
        <f t="shared" si="12"/>
        <v>#DIV/0!</v>
      </c>
      <c r="AW31" s="74" t="e">
        <f t="shared" si="12"/>
        <v>#DIV/0!</v>
      </c>
      <c r="AX31" s="74" t="e">
        <f t="shared" si="12"/>
        <v>#DIV/0!</v>
      </c>
      <c r="AY31" s="74" t="e">
        <f t="shared" si="12"/>
        <v>#DIV/0!</v>
      </c>
      <c r="AZ31" s="74" t="e">
        <f t="shared" si="12"/>
        <v>#DIV/0!</v>
      </c>
      <c r="BA31" s="74" t="e">
        <f t="shared" si="12"/>
        <v>#DIV/0!</v>
      </c>
      <c r="BB31" s="74" t="e">
        <f t="shared" si="12"/>
        <v>#DIV/0!</v>
      </c>
      <c r="BC31" s="3"/>
    </row>
    <row r="33" spans="1:55" ht="14.25" customHeight="1">
      <c r="A33" s="113"/>
      <c r="E33" s="118" t="str">
        <f>'AsPc1 REPEAT Groups'!C9</f>
        <v>Group 4</v>
      </c>
      <c r="H33" s="118" t="str">
        <f>E33</f>
        <v>Group 4</v>
      </c>
      <c r="I33" s="248" t="s">
        <v>52</v>
      </c>
      <c r="J33" s="78">
        <f t="shared" ref="J33:BB33" si="13">COUNTIFS($E$5:$E$14,$E33,J$5:J$14,"Alive")</f>
        <v>0</v>
      </c>
      <c r="K33" s="78">
        <f t="shared" si="13"/>
        <v>0</v>
      </c>
      <c r="L33" s="78">
        <f t="shared" si="13"/>
        <v>0</v>
      </c>
      <c r="M33" s="78">
        <f t="shared" si="13"/>
        <v>0</v>
      </c>
      <c r="N33" s="78">
        <f t="shared" si="13"/>
        <v>0</v>
      </c>
      <c r="O33" s="78">
        <f t="shared" si="13"/>
        <v>0</v>
      </c>
      <c r="P33" s="78">
        <f t="shared" si="13"/>
        <v>0</v>
      </c>
      <c r="Q33" s="78">
        <f t="shared" si="13"/>
        <v>0</v>
      </c>
      <c r="R33" s="78">
        <f t="shared" si="13"/>
        <v>0</v>
      </c>
      <c r="S33" s="78">
        <f t="shared" si="13"/>
        <v>0</v>
      </c>
      <c r="T33" s="78">
        <f t="shared" si="13"/>
        <v>0</v>
      </c>
      <c r="U33" s="78">
        <f t="shared" si="13"/>
        <v>0</v>
      </c>
      <c r="V33" s="78">
        <f t="shared" si="13"/>
        <v>0</v>
      </c>
      <c r="W33" s="78">
        <f t="shared" si="13"/>
        <v>0</v>
      </c>
      <c r="X33" s="78">
        <f t="shared" si="13"/>
        <v>0</v>
      </c>
      <c r="Y33" s="78">
        <f t="shared" si="13"/>
        <v>0</v>
      </c>
      <c r="Z33" s="78">
        <f t="shared" si="13"/>
        <v>0</v>
      </c>
      <c r="AA33" s="78">
        <f t="shared" si="13"/>
        <v>0</v>
      </c>
      <c r="AB33" s="78">
        <f t="shared" si="13"/>
        <v>0</v>
      </c>
      <c r="AC33" s="78">
        <f t="shared" si="13"/>
        <v>0</v>
      </c>
      <c r="AD33" s="78">
        <f t="shared" si="13"/>
        <v>0</v>
      </c>
      <c r="AE33" s="78">
        <f t="shared" si="13"/>
        <v>0</v>
      </c>
      <c r="AF33" s="78">
        <f t="shared" si="13"/>
        <v>0</v>
      </c>
      <c r="AG33" s="78">
        <f t="shared" si="13"/>
        <v>0</v>
      </c>
      <c r="AH33" s="78">
        <f t="shared" si="13"/>
        <v>0</v>
      </c>
      <c r="AI33" s="78">
        <f t="shared" si="13"/>
        <v>0</v>
      </c>
      <c r="AJ33" s="78">
        <f t="shared" si="13"/>
        <v>0</v>
      </c>
      <c r="AK33" s="78">
        <f t="shared" si="13"/>
        <v>0</v>
      </c>
      <c r="AL33" s="78">
        <f t="shared" si="13"/>
        <v>0</v>
      </c>
      <c r="AM33" s="78">
        <f t="shared" si="13"/>
        <v>0</v>
      </c>
      <c r="AN33" s="78">
        <f t="shared" si="13"/>
        <v>0</v>
      </c>
      <c r="AO33" s="78">
        <f t="shared" si="13"/>
        <v>0</v>
      </c>
      <c r="AP33" s="78">
        <f t="shared" si="13"/>
        <v>0</v>
      </c>
      <c r="AQ33" s="78">
        <f t="shared" si="13"/>
        <v>0</v>
      </c>
      <c r="AR33" s="78">
        <f t="shared" si="13"/>
        <v>0</v>
      </c>
      <c r="AS33" s="78">
        <f t="shared" si="13"/>
        <v>0</v>
      </c>
      <c r="AT33" s="78">
        <f t="shared" si="13"/>
        <v>0</v>
      </c>
      <c r="AU33" s="78">
        <f t="shared" si="13"/>
        <v>0</v>
      </c>
      <c r="AV33" s="78">
        <f t="shared" si="13"/>
        <v>0</v>
      </c>
      <c r="AW33" s="78">
        <f t="shared" si="13"/>
        <v>0</v>
      </c>
      <c r="AX33" s="78">
        <f t="shared" si="13"/>
        <v>0</v>
      </c>
      <c r="AY33" s="78">
        <f t="shared" si="13"/>
        <v>0</v>
      </c>
      <c r="AZ33" s="78">
        <f t="shared" si="13"/>
        <v>0</v>
      </c>
      <c r="BA33" s="78">
        <f t="shared" si="13"/>
        <v>0</v>
      </c>
      <c r="BB33" s="78">
        <f t="shared" si="13"/>
        <v>0</v>
      </c>
      <c r="BC33" s="76"/>
    </row>
    <row r="34" spans="1:55" ht="14.25" customHeight="1">
      <c r="A34" s="113"/>
      <c r="E34" s="93"/>
      <c r="H34" s="93"/>
      <c r="I34" s="248" t="s">
        <v>51</v>
      </c>
      <c r="J34" s="81">
        <f t="shared" ref="J34:BB34" si="14">COUNTIFS($E$5:$E$14,$E33,J$5:J$14,"Censored")</f>
        <v>0</v>
      </c>
      <c r="K34" s="81">
        <f t="shared" si="14"/>
        <v>0</v>
      </c>
      <c r="L34" s="81">
        <f t="shared" si="14"/>
        <v>0</v>
      </c>
      <c r="M34" s="81">
        <f t="shared" si="14"/>
        <v>0</v>
      </c>
      <c r="N34" s="81">
        <f t="shared" si="14"/>
        <v>0</v>
      </c>
      <c r="O34" s="81">
        <f t="shared" si="14"/>
        <v>0</v>
      </c>
      <c r="P34" s="81">
        <f t="shared" si="14"/>
        <v>0</v>
      </c>
      <c r="Q34" s="81">
        <f t="shared" si="14"/>
        <v>0</v>
      </c>
      <c r="R34" s="81">
        <f t="shared" si="14"/>
        <v>0</v>
      </c>
      <c r="S34" s="81">
        <f t="shared" si="14"/>
        <v>0</v>
      </c>
      <c r="T34" s="81">
        <f t="shared" si="14"/>
        <v>0</v>
      </c>
      <c r="U34" s="81">
        <f t="shared" si="14"/>
        <v>0</v>
      </c>
      <c r="V34" s="81">
        <f t="shared" si="14"/>
        <v>0</v>
      </c>
      <c r="W34" s="81">
        <f t="shared" si="14"/>
        <v>0</v>
      </c>
      <c r="X34" s="81">
        <f t="shared" si="14"/>
        <v>0</v>
      </c>
      <c r="Y34" s="81">
        <f t="shared" si="14"/>
        <v>0</v>
      </c>
      <c r="Z34" s="81">
        <f t="shared" si="14"/>
        <v>0</v>
      </c>
      <c r="AA34" s="81">
        <f t="shared" si="14"/>
        <v>0</v>
      </c>
      <c r="AB34" s="81">
        <f t="shared" si="14"/>
        <v>0</v>
      </c>
      <c r="AC34" s="81">
        <f t="shared" si="14"/>
        <v>0</v>
      </c>
      <c r="AD34" s="81">
        <f t="shared" si="14"/>
        <v>0</v>
      </c>
      <c r="AE34" s="81">
        <f t="shared" si="14"/>
        <v>0</v>
      </c>
      <c r="AF34" s="81">
        <f t="shared" si="14"/>
        <v>0</v>
      </c>
      <c r="AG34" s="81">
        <f t="shared" si="14"/>
        <v>0</v>
      </c>
      <c r="AH34" s="81">
        <f t="shared" si="14"/>
        <v>0</v>
      </c>
      <c r="AI34" s="81">
        <f t="shared" si="14"/>
        <v>0</v>
      </c>
      <c r="AJ34" s="81">
        <f t="shared" si="14"/>
        <v>0</v>
      </c>
      <c r="AK34" s="81">
        <f t="shared" si="14"/>
        <v>0</v>
      </c>
      <c r="AL34" s="81">
        <f t="shared" si="14"/>
        <v>0</v>
      </c>
      <c r="AM34" s="81">
        <f t="shared" si="14"/>
        <v>0</v>
      </c>
      <c r="AN34" s="81">
        <f t="shared" si="14"/>
        <v>0</v>
      </c>
      <c r="AO34" s="81">
        <f t="shared" si="14"/>
        <v>0</v>
      </c>
      <c r="AP34" s="81">
        <f t="shared" si="14"/>
        <v>0</v>
      </c>
      <c r="AQ34" s="81">
        <f t="shared" si="14"/>
        <v>0</v>
      </c>
      <c r="AR34" s="81">
        <f t="shared" si="14"/>
        <v>0</v>
      </c>
      <c r="AS34" s="81">
        <f t="shared" si="14"/>
        <v>0</v>
      </c>
      <c r="AT34" s="81">
        <f t="shared" si="14"/>
        <v>0</v>
      </c>
      <c r="AU34" s="81">
        <f t="shared" si="14"/>
        <v>0</v>
      </c>
      <c r="AV34" s="81">
        <f t="shared" si="14"/>
        <v>0</v>
      </c>
      <c r="AW34" s="81">
        <f t="shared" si="14"/>
        <v>0</v>
      </c>
      <c r="AX34" s="81">
        <f t="shared" si="14"/>
        <v>0</v>
      </c>
      <c r="AY34" s="81">
        <f t="shared" si="14"/>
        <v>0</v>
      </c>
      <c r="AZ34" s="81">
        <f t="shared" si="14"/>
        <v>0</v>
      </c>
      <c r="BA34" s="81">
        <f t="shared" si="14"/>
        <v>0</v>
      </c>
      <c r="BB34" s="81">
        <f t="shared" si="14"/>
        <v>0</v>
      </c>
      <c r="BC34" s="76"/>
    </row>
    <row r="35" spans="1:55" ht="14.25" customHeight="1">
      <c r="E35" s="301"/>
      <c r="H35" s="93"/>
      <c r="I35" s="248" t="s">
        <v>53</v>
      </c>
      <c r="J35" s="74" t="e">
        <f>J33/(COUNTIFS($E$5:$E$14,$E33,J$5:J$14,"Alive")+COUNTIFS($E$5:$E$14,$E33,J$5:J$14,"Sacrificed")+COUNTIFS($E$5:$E$14,$E33,J$5:J$14,"Died"))</f>
        <v>#DIV/0!</v>
      </c>
      <c r="K35" s="74" t="e">
        <f t="shared" ref="K35:BB35" si="15">K33/(COUNTIFS($E$5:$E$14,$E33,K$5:K$14,"Alive")+COUNTIFS($E$5:$E$14,$E33,K$5:K$14,"Sacrificed")+COUNTIFS($E$5:$E$14,$E33,K$5:K$14,"Died"))*J35</f>
        <v>#DIV/0!</v>
      </c>
      <c r="L35" s="74" t="e">
        <f t="shared" si="15"/>
        <v>#DIV/0!</v>
      </c>
      <c r="M35" s="74" t="e">
        <f t="shared" si="15"/>
        <v>#DIV/0!</v>
      </c>
      <c r="N35" s="74" t="e">
        <f t="shared" si="15"/>
        <v>#DIV/0!</v>
      </c>
      <c r="O35" s="74" t="e">
        <f t="shared" si="15"/>
        <v>#DIV/0!</v>
      </c>
      <c r="P35" s="74" t="e">
        <f t="shared" si="15"/>
        <v>#DIV/0!</v>
      </c>
      <c r="Q35" s="74" t="e">
        <f t="shared" si="15"/>
        <v>#DIV/0!</v>
      </c>
      <c r="R35" s="74" t="e">
        <f t="shared" si="15"/>
        <v>#DIV/0!</v>
      </c>
      <c r="S35" s="74" t="e">
        <f t="shared" si="15"/>
        <v>#DIV/0!</v>
      </c>
      <c r="T35" s="74" t="e">
        <f t="shared" si="15"/>
        <v>#DIV/0!</v>
      </c>
      <c r="U35" s="74" t="e">
        <f t="shared" si="15"/>
        <v>#DIV/0!</v>
      </c>
      <c r="V35" s="74" t="e">
        <f t="shared" si="15"/>
        <v>#DIV/0!</v>
      </c>
      <c r="W35" s="74" t="e">
        <f t="shared" si="15"/>
        <v>#DIV/0!</v>
      </c>
      <c r="X35" s="74" t="e">
        <f t="shared" si="15"/>
        <v>#DIV/0!</v>
      </c>
      <c r="Y35" s="74" t="e">
        <f t="shared" si="15"/>
        <v>#DIV/0!</v>
      </c>
      <c r="Z35" s="74" t="e">
        <f t="shared" si="15"/>
        <v>#DIV/0!</v>
      </c>
      <c r="AA35" s="74" t="e">
        <f t="shared" si="15"/>
        <v>#DIV/0!</v>
      </c>
      <c r="AB35" s="74" t="e">
        <f t="shared" si="15"/>
        <v>#DIV/0!</v>
      </c>
      <c r="AC35" s="74" t="e">
        <f t="shared" si="15"/>
        <v>#DIV/0!</v>
      </c>
      <c r="AD35" s="74" t="e">
        <f t="shared" si="15"/>
        <v>#DIV/0!</v>
      </c>
      <c r="AE35" s="74" t="e">
        <f t="shared" si="15"/>
        <v>#DIV/0!</v>
      </c>
      <c r="AF35" s="74" t="e">
        <f t="shared" si="15"/>
        <v>#DIV/0!</v>
      </c>
      <c r="AG35" s="74" t="e">
        <f t="shared" si="15"/>
        <v>#DIV/0!</v>
      </c>
      <c r="AH35" s="74" t="e">
        <f t="shared" si="15"/>
        <v>#DIV/0!</v>
      </c>
      <c r="AI35" s="74" t="e">
        <f t="shared" si="15"/>
        <v>#DIV/0!</v>
      </c>
      <c r="AJ35" s="74" t="e">
        <f t="shared" si="15"/>
        <v>#DIV/0!</v>
      </c>
      <c r="AK35" s="74" t="e">
        <f t="shared" si="15"/>
        <v>#DIV/0!</v>
      </c>
      <c r="AL35" s="74" t="e">
        <f t="shared" si="15"/>
        <v>#DIV/0!</v>
      </c>
      <c r="AM35" s="74" t="e">
        <f t="shared" si="15"/>
        <v>#DIV/0!</v>
      </c>
      <c r="AN35" s="74" t="e">
        <f t="shared" si="15"/>
        <v>#DIV/0!</v>
      </c>
      <c r="AO35" s="74" t="e">
        <f t="shared" si="15"/>
        <v>#DIV/0!</v>
      </c>
      <c r="AP35" s="74" t="e">
        <f t="shared" si="15"/>
        <v>#DIV/0!</v>
      </c>
      <c r="AQ35" s="74" t="e">
        <f t="shared" si="15"/>
        <v>#DIV/0!</v>
      </c>
      <c r="AR35" s="74" t="e">
        <f t="shared" si="15"/>
        <v>#DIV/0!</v>
      </c>
      <c r="AS35" s="74" t="e">
        <f t="shared" si="15"/>
        <v>#DIV/0!</v>
      </c>
      <c r="AT35" s="74" t="e">
        <f t="shared" si="15"/>
        <v>#DIV/0!</v>
      </c>
      <c r="AU35" s="74" t="e">
        <f t="shared" si="15"/>
        <v>#DIV/0!</v>
      </c>
      <c r="AV35" s="74" t="e">
        <f t="shared" si="15"/>
        <v>#DIV/0!</v>
      </c>
      <c r="AW35" s="74" t="e">
        <f t="shared" si="15"/>
        <v>#DIV/0!</v>
      </c>
      <c r="AX35" s="74" t="e">
        <f t="shared" si="15"/>
        <v>#DIV/0!</v>
      </c>
      <c r="AY35" s="74" t="e">
        <f t="shared" si="15"/>
        <v>#DIV/0!</v>
      </c>
      <c r="AZ35" s="74" t="e">
        <f t="shared" si="15"/>
        <v>#DIV/0!</v>
      </c>
      <c r="BA35" s="74" t="e">
        <f t="shared" si="15"/>
        <v>#DIV/0!</v>
      </c>
      <c r="BB35" s="74" t="e">
        <f t="shared" si="15"/>
        <v>#DIV/0!</v>
      </c>
      <c r="BC35" s="3"/>
    </row>
    <row r="37" spans="1:55" ht="14.25" customHeight="1">
      <c r="A37" s="113"/>
      <c r="E37" s="118" t="str">
        <f>'AsPc1 REPEAT Groups'!C10</f>
        <v>Group 5</v>
      </c>
      <c r="H37" s="118" t="str">
        <f>E37</f>
        <v>Group 5</v>
      </c>
      <c r="I37" s="248" t="s">
        <v>52</v>
      </c>
      <c r="J37" s="78">
        <f t="shared" ref="J37:BB37" si="16">COUNTIFS($E$5:$E$14,$E37,J$5:J$14,"Alive")</f>
        <v>0</v>
      </c>
      <c r="K37" s="78">
        <f t="shared" si="16"/>
        <v>0</v>
      </c>
      <c r="L37" s="78">
        <f t="shared" si="16"/>
        <v>0</v>
      </c>
      <c r="M37" s="78">
        <f t="shared" si="16"/>
        <v>0</v>
      </c>
      <c r="N37" s="78">
        <f t="shared" si="16"/>
        <v>0</v>
      </c>
      <c r="O37" s="78">
        <f t="shared" si="16"/>
        <v>0</v>
      </c>
      <c r="P37" s="78">
        <f t="shared" si="16"/>
        <v>0</v>
      </c>
      <c r="Q37" s="78">
        <f t="shared" si="16"/>
        <v>0</v>
      </c>
      <c r="R37" s="78">
        <f t="shared" si="16"/>
        <v>0</v>
      </c>
      <c r="S37" s="78">
        <f t="shared" si="16"/>
        <v>0</v>
      </c>
      <c r="T37" s="78">
        <f t="shared" si="16"/>
        <v>0</v>
      </c>
      <c r="U37" s="78">
        <f t="shared" si="16"/>
        <v>0</v>
      </c>
      <c r="V37" s="78">
        <f t="shared" si="16"/>
        <v>0</v>
      </c>
      <c r="W37" s="78">
        <f t="shared" si="16"/>
        <v>0</v>
      </c>
      <c r="X37" s="78">
        <f t="shared" si="16"/>
        <v>0</v>
      </c>
      <c r="Y37" s="78">
        <f t="shared" si="16"/>
        <v>0</v>
      </c>
      <c r="Z37" s="78">
        <f t="shared" si="16"/>
        <v>0</v>
      </c>
      <c r="AA37" s="78">
        <f t="shared" si="16"/>
        <v>0</v>
      </c>
      <c r="AB37" s="78">
        <f t="shared" si="16"/>
        <v>0</v>
      </c>
      <c r="AC37" s="78">
        <f t="shared" si="16"/>
        <v>0</v>
      </c>
      <c r="AD37" s="78">
        <f t="shared" si="16"/>
        <v>0</v>
      </c>
      <c r="AE37" s="78">
        <f t="shared" si="16"/>
        <v>0</v>
      </c>
      <c r="AF37" s="78">
        <f t="shared" si="16"/>
        <v>0</v>
      </c>
      <c r="AG37" s="78">
        <f t="shared" si="16"/>
        <v>0</v>
      </c>
      <c r="AH37" s="78">
        <f t="shared" si="16"/>
        <v>0</v>
      </c>
      <c r="AI37" s="78">
        <f t="shared" si="16"/>
        <v>0</v>
      </c>
      <c r="AJ37" s="78">
        <f t="shared" si="16"/>
        <v>0</v>
      </c>
      <c r="AK37" s="78">
        <f t="shared" si="16"/>
        <v>0</v>
      </c>
      <c r="AL37" s="78">
        <f t="shared" si="16"/>
        <v>0</v>
      </c>
      <c r="AM37" s="78">
        <f t="shared" si="16"/>
        <v>0</v>
      </c>
      <c r="AN37" s="78">
        <f t="shared" si="16"/>
        <v>0</v>
      </c>
      <c r="AO37" s="78">
        <f t="shared" si="16"/>
        <v>0</v>
      </c>
      <c r="AP37" s="78">
        <f t="shared" si="16"/>
        <v>0</v>
      </c>
      <c r="AQ37" s="78">
        <f t="shared" si="16"/>
        <v>0</v>
      </c>
      <c r="AR37" s="78">
        <f t="shared" si="16"/>
        <v>0</v>
      </c>
      <c r="AS37" s="78">
        <f t="shared" si="16"/>
        <v>0</v>
      </c>
      <c r="AT37" s="78">
        <f t="shared" si="16"/>
        <v>0</v>
      </c>
      <c r="AU37" s="78">
        <f t="shared" si="16"/>
        <v>0</v>
      </c>
      <c r="AV37" s="78">
        <f t="shared" si="16"/>
        <v>0</v>
      </c>
      <c r="AW37" s="78">
        <f t="shared" si="16"/>
        <v>0</v>
      </c>
      <c r="AX37" s="78">
        <f t="shared" si="16"/>
        <v>0</v>
      </c>
      <c r="AY37" s="78">
        <f t="shared" si="16"/>
        <v>0</v>
      </c>
      <c r="AZ37" s="78">
        <f t="shared" si="16"/>
        <v>0</v>
      </c>
      <c r="BA37" s="78">
        <f t="shared" si="16"/>
        <v>0</v>
      </c>
      <c r="BB37" s="78">
        <f t="shared" si="16"/>
        <v>0</v>
      </c>
      <c r="BC37" s="76"/>
    </row>
    <row r="38" spans="1:55" ht="14.25" customHeight="1">
      <c r="A38" s="113"/>
      <c r="E38" s="93"/>
      <c r="H38" s="93"/>
      <c r="I38" s="248" t="s">
        <v>51</v>
      </c>
      <c r="J38" s="81">
        <f t="shared" ref="J38:BB38" si="17">COUNTIFS($E$5:$E$14,$E37,J$5:J$14,"Censored")</f>
        <v>0</v>
      </c>
      <c r="K38" s="81">
        <f t="shared" si="17"/>
        <v>0</v>
      </c>
      <c r="L38" s="81">
        <f t="shared" si="17"/>
        <v>0</v>
      </c>
      <c r="M38" s="81">
        <f t="shared" si="17"/>
        <v>0</v>
      </c>
      <c r="N38" s="81">
        <f t="shared" si="17"/>
        <v>0</v>
      </c>
      <c r="O38" s="81">
        <f t="shared" si="17"/>
        <v>0</v>
      </c>
      <c r="P38" s="81">
        <f t="shared" si="17"/>
        <v>0</v>
      </c>
      <c r="Q38" s="81">
        <f t="shared" si="17"/>
        <v>0</v>
      </c>
      <c r="R38" s="81">
        <f t="shared" si="17"/>
        <v>0</v>
      </c>
      <c r="S38" s="81">
        <f t="shared" si="17"/>
        <v>0</v>
      </c>
      <c r="T38" s="81">
        <f t="shared" si="17"/>
        <v>0</v>
      </c>
      <c r="U38" s="81">
        <f t="shared" si="17"/>
        <v>0</v>
      </c>
      <c r="V38" s="81">
        <f t="shared" si="17"/>
        <v>0</v>
      </c>
      <c r="W38" s="81">
        <f t="shared" si="17"/>
        <v>0</v>
      </c>
      <c r="X38" s="81">
        <f t="shared" si="17"/>
        <v>0</v>
      </c>
      <c r="Y38" s="81">
        <f t="shared" si="17"/>
        <v>0</v>
      </c>
      <c r="Z38" s="81">
        <f t="shared" si="17"/>
        <v>0</v>
      </c>
      <c r="AA38" s="81">
        <f t="shared" si="17"/>
        <v>0</v>
      </c>
      <c r="AB38" s="81">
        <f t="shared" si="17"/>
        <v>0</v>
      </c>
      <c r="AC38" s="81">
        <f t="shared" si="17"/>
        <v>0</v>
      </c>
      <c r="AD38" s="81">
        <f t="shared" si="17"/>
        <v>0</v>
      </c>
      <c r="AE38" s="81">
        <f t="shared" si="17"/>
        <v>0</v>
      </c>
      <c r="AF38" s="81">
        <f t="shared" si="17"/>
        <v>0</v>
      </c>
      <c r="AG38" s="81">
        <f t="shared" si="17"/>
        <v>0</v>
      </c>
      <c r="AH38" s="81">
        <f t="shared" si="17"/>
        <v>0</v>
      </c>
      <c r="AI38" s="81">
        <f t="shared" si="17"/>
        <v>0</v>
      </c>
      <c r="AJ38" s="81">
        <f t="shared" si="17"/>
        <v>0</v>
      </c>
      <c r="AK38" s="81">
        <f t="shared" si="17"/>
        <v>0</v>
      </c>
      <c r="AL38" s="81">
        <f t="shared" si="17"/>
        <v>0</v>
      </c>
      <c r="AM38" s="81">
        <f t="shared" si="17"/>
        <v>0</v>
      </c>
      <c r="AN38" s="81">
        <f t="shared" si="17"/>
        <v>0</v>
      </c>
      <c r="AO38" s="81">
        <f t="shared" si="17"/>
        <v>0</v>
      </c>
      <c r="AP38" s="81">
        <f t="shared" si="17"/>
        <v>0</v>
      </c>
      <c r="AQ38" s="81">
        <f t="shared" si="17"/>
        <v>0</v>
      </c>
      <c r="AR38" s="81">
        <f t="shared" si="17"/>
        <v>0</v>
      </c>
      <c r="AS38" s="81">
        <f t="shared" si="17"/>
        <v>0</v>
      </c>
      <c r="AT38" s="81">
        <f t="shared" si="17"/>
        <v>0</v>
      </c>
      <c r="AU38" s="81">
        <f t="shared" si="17"/>
        <v>0</v>
      </c>
      <c r="AV38" s="81">
        <f t="shared" si="17"/>
        <v>0</v>
      </c>
      <c r="AW38" s="81">
        <f t="shared" si="17"/>
        <v>0</v>
      </c>
      <c r="AX38" s="81">
        <f t="shared" si="17"/>
        <v>0</v>
      </c>
      <c r="AY38" s="81">
        <f t="shared" si="17"/>
        <v>0</v>
      </c>
      <c r="AZ38" s="81">
        <f t="shared" si="17"/>
        <v>0</v>
      </c>
      <c r="BA38" s="81">
        <f t="shared" si="17"/>
        <v>0</v>
      </c>
      <c r="BB38" s="81">
        <f t="shared" si="17"/>
        <v>0</v>
      </c>
      <c r="BC38" s="76"/>
    </row>
    <row r="39" spans="1:55" ht="14.25" customHeight="1">
      <c r="E39" s="301"/>
      <c r="H39" s="93"/>
      <c r="I39" s="248" t="s">
        <v>53</v>
      </c>
      <c r="J39" s="74" t="e">
        <f>J37/(COUNTIFS($E$5:$E$14,$E37,J$5:J$14,"Alive")+COUNTIFS($E$5:$E$14,$E37,J$5:J$14,"Sacrificed")+COUNTIFS($E$5:$E$14,$E37,J$5:J$14,"Died"))</f>
        <v>#DIV/0!</v>
      </c>
      <c r="K39" s="74" t="e">
        <f t="shared" ref="K39:BB39" si="18">K37/(COUNTIFS($E$5:$E$14,$E37,K$5:K$14,"Alive")+COUNTIFS($E$5:$E$14,$E37,K$5:K$14,"Sacrificed")+COUNTIFS($E$5:$E$14,$E37,K$5:K$14,"Died"))*J39</f>
        <v>#DIV/0!</v>
      </c>
      <c r="L39" s="74" t="e">
        <f t="shared" si="18"/>
        <v>#DIV/0!</v>
      </c>
      <c r="M39" s="74" t="e">
        <f t="shared" si="18"/>
        <v>#DIV/0!</v>
      </c>
      <c r="N39" s="74" t="e">
        <f t="shared" si="18"/>
        <v>#DIV/0!</v>
      </c>
      <c r="O39" s="74" t="e">
        <f t="shared" si="18"/>
        <v>#DIV/0!</v>
      </c>
      <c r="P39" s="74" t="e">
        <f t="shared" si="18"/>
        <v>#DIV/0!</v>
      </c>
      <c r="Q39" s="74" t="e">
        <f t="shared" si="18"/>
        <v>#DIV/0!</v>
      </c>
      <c r="R39" s="74" t="e">
        <f t="shared" si="18"/>
        <v>#DIV/0!</v>
      </c>
      <c r="S39" s="74" t="e">
        <f t="shared" si="18"/>
        <v>#DIV/0!</v>
      </c>
      <c r="T39" s="74" t="e">
        <f t="shared" si="18"/>
        <v>#DIV/0!</v>
      </c>
      <c r="U39" s="74" t="e">
        <f t="shared" si="18"/>
        <v>#DIV/0!</v>
      </c>
      <c r="V39" s="74" t="e">
        <f t="shared" si="18"/>
        <v>#DIV/0!</v>
      </c>
      <c r="W39" s="74" t="e">
        <f t="shared" si="18"/>
        <v>#DIV/0!</v>
      </c>
      <c r="X39" s="74" t="e">
        <f t="shared" si="18"/>
        <v>#DIV/0!</v>
      </c>
      <c r="Y39" s="74" t="e">
        <f t="shared" si="18"/>
        <v>#DIV/0!</v>
      </c>
      <c r="Z39" s="74" t="e">
        <f t="shared" si="18"/>
        <v>#DIV/0!</v>
      </c>
      <c r="AA39" s="74" t="e">
        <f t="shared" si="18"/>
        <v>#DIV/0!</v>
      </c>
      <c r="AB39" s="74" t="e">
        <f t="shared" si="18"/>
        <v>#DIV/0!</v>
      </c>
      <c r="AC39" s="74" t="e">
        <f t="shared" si="18"/>
        <v>#DIV/0!</v>
      </c>
      <c r="AD39" s="74" t="e">
        <f t="shared" si="18"/>
        <v>#DIV/0!</v>
      </c>
      <c r="AE39" s="74" t="e">
        <f t="shared" si="18"/>
        <v>#DIV/0!</v>
      </c>
      <c r="AF39" s="74" t="e">
        <f t="shared" si="18"/>
        <v>#DIV/0!</v>
      </c>
      <c r="AG39" s="74" t="e">
        <f t="shared" si="18"/>
        <v>#DIV/0!</v>
      </c>
      <c r="AH39" s="74" t="e">
        <f t="shared" si="18"/>
        <v>#DIV/0!</v>
      </c>
      <c r="AI39" s="74" t="e">
        <f t="shared" si="18"/>
        <v>#DIV/0!</v>
      </c>
      <c r="AJ39" s="74" t="e">
        <f t="shared" si="18"/>
        <v>#DIV/0!</v>
      </c>
      <c r="AK39" s="74" t="e">
        <f t="shared" si="18"/>
        <v>#DIV/0!</v>
      </c>
      <c r="AL39" s="74" t="e">
        <f t="shared" si="18"/>
        <v>#DIV/0!</v>
      </c>
      <c r="AM39" s="74" t="e">
        <f t="shared" si="18"/>
        <v>#DIV/0!</v>
      </c>
      <c r="AN39" s="74" t="e">
        <f t="shared" si="18"/>
        <v>#DIV/0!</v>
      </c>
      <c r="AO39" s="74" t="e">
        <f t="shared" si="18"/>
        <v>#DIV/0!</v>
      </c>
      <c r="AP39" s="74" t="e">
        <f t="shared" si="18"/>
        <v>#DIV/0!</v>
      </c>
      <c r="AQ39" s="74" t="e">
        <f t="shared" si="18"/>
        <v>#DIV/0!</v>
      </c>
      <c r="AR39" s="74" t="e">
        <f t="shared" si="18"/>
        <v>#DIV/0!</v>
      </c>
      <c r="AS39" s="74" t="e">
        <f t="shared" si="18"/>
        <v>#DIV/0!</v>
      </c>
      <c r="AT39" s="74" t="e">
        <f t="shared" si="18"/>
        <v>#DIV/0!</v>
      </c>
      <c r="AU39" s="74" t="e">
        <f t="shared" si="18"/>
        <v>#DIV/0!</v>
      </c>
      <c r="AV39" s="74" t="e">
        <f t="shared" si="18"/>
        <v>#DIV/0!</v>
      </c>
      <c r="AW39" s="74" t="e">
        <f t="shared" si="18"/>
        <v>#DIV/0!</v>
      </c>
      <c r="AX39" s="74" t="e">
        <f t="shared" si="18"/>
        <v>#DIV/0!</v>
      </c>
      <c r="AY39" s="74" t="e">
        <f t="shared" si="18"/>
        <v>#DIV/0!</v>
      </c>
      <c r="AZ39" s="74" t="e">
        <f t="shared" si="18"/>
        <v>#DIV/0!</v>
      </c>
      <c r="BA39" s="74" t="e">
        <f t="shared" si="18"/>
        <v>#DIV/0!</v>
      </c>
      <c r="BB39" s="74" t="e">
        <f t="shared" si="18"/>
        <v>#DIV/0!</v>
      </c>
      <c r="BC39" s="3"/>
    </row>
    <row r="41" spans="1:55" ht="14.25" customHeight="1">
      <c r="A41" s="113"/>
      <c r="E41" s="118" t="str">
        <f>'AsPc1 REPEAT Groups'!C11</f>
        <v>Group 6</v>
      </c>
      <c r="H41" s="118" t="str">
        <f>E41</f>
        <v>Group 6</v>
      </c>
      <c r="I41" s="248" t="s">
        <v>52</v>
      </c>
      <c r="J41" s="78">
        <f t="shared" ref="J41:BB41" si="19">COUNTIFS($E$5:$E$14,$E41,J$5:J$14,"Alive")</f>
        <v>0</v>
      </c>
      <c r="K41" s="78">
        <f t="shared" si="19"/>
        <v>0</v>
      </c>
      <c r="L41" s="78">
        <f t="shared" si="19"/>
        <v>0</v>
      </c>
      <c r="M41" s="78">
        <f t="shared" si="19"/>
        <v>0</v>
      </c>
      <c r="N41" s="78">
        <f t="shared" si="19"/>
        <v>0</v>
      </c>
      <c r="O41" s="78">
        <f t="shared" si="19"/>
        <v>0</v>
      </c>
      <c r="P41" s="78">
        <f t="shared" si="19"/>
        <v>0</v>
      </c>
      <c r="Q41" s="78">
        <f t="shared" si="19"/>
        <v>0</v>
      </c>
      <c r="R41" s="78">
        <f t="shared" si="19"/>
        <v>0</v>
      </c>
      <c r="S41" s="78">
        <f t="shared" si="19"/>
        <v>0</v>
      </c>
      <c r="T41" s="78">
        <f t="shared" si="19"/>
        <v>0</v>
      </c>
      <c r="U41" s="78">
        <f t="shared" si="19"/>
        <v>0</v>
      </c>
      <c r="V41" s="78">
        <f t="shared" si="19"/>
        <v>0</v>
      </c>
      <c r="W41" s="78">
        <f t="shared" si="19"/>
        <v>0</v>
      </c>
      <c r="X41" s="78">
        <f t="shared" si="19"/>
        <v>0</v>
      </c>
      <c r="Y41" s="78">
        <f t="shared" si="19"/>
        <v>0</v>
      </c>
      <c r="Z41" s="78">
        <f t="shared" si="19"/>
        <v>0</v>
      </c>
      <c r="AA41" s="78">
        <f t="shared" si="19"/>
        <v>0</v>
      </c>
      <c r="AB41" s="78">
        <f t="shared" si="19"/>
        <v>0</v>
      </c>
      <c r="AC41" s="78">
        <f t="shared" si="19"/>
        <v>0</v>
      </c>
      <c r="AD41" s="78">
        <f t="shared" si="19"/>
        <v>0</v>
      </c>
      <c r="AE41" s="78">
        <f t="shared" si="19"/>
        <v>0</v>
      </c>
      <c r="AF41" s="78">
        <f t="shared" si="19"/>
        <v>0</v>
      </c>
      <c r="AG41" s="78">
        <f t="shared" si="19"/>
        <v>0</v>
      </c>
      <c r="AH41" s="78">
        <f t="shared" si="19"/>
        <v>0</v>
      </c>
      <c r="AI41" s="78">
        <f t="shared" si="19"/>
        <v>0</v>
      </c>
      <c r="AJ41" s="78">
        <f t="shared" si="19"/>
        <v>0</v>
      </c>
      <c r="AK41" s="78">
        <f t="shared" si="19"/>
        <v>0</v>
      </c>
      <c r="AL41" s="78">
        <f t="shared" si="19"/>
        <v>0</v>
      </c>
      <c r="AM41" s="78">
        <f t="shared" si="19"/>
        <v>0</v>
      </c>
      <c r="AN41" s="78">
        <f t="shared" si="19"/>
        <v>0</v>
      </c>
      <c r="AO41" s="78">
        <f t="shared" si="19"/>
        <v>0</v>
      </c>
      <c r="AP41" s="78">
        <f t="shared" si="19"/>
        <v>0</v>
      </c>
      <c r="AQ41" s="78">
        <f t="shared" si="19"/>
        <v>0</v>
      </c>
      <c r="AR41" s="78">
        <f t="shared" si="19"/>
        <v>0</v>
      </c>
      <c r="AS41" s="78">
        <f t="shared" si="19"/>
        <v>0</v>
      </c>
      <c r="AT41" s="78">
        <f t="shared" si="19"/>
        <v>0</v>
      </c>
      <c r="AU41" s="78">
        <f t="shared" si="19"/>
        <v>0</v>
      </c>
      <c r="AV41" s="78">
        <f t="shared" si="19"/>
        <v>0</v>
      </c>
      <c r="AW41" s="78">
        <f t="shared" si="19"/>
        <v>0</v>
      </c>
      <c r="AX41" s="78">
        <f t="shared" si="19"/>
        <v>0</v>
      </c>
      <c r="AY41" s="78">
        <f t="shared" si="19"/>
        <v>0</v>
      </c>
      <c r="AZ41" s="78">
        <f t="shared" si="19"/>
        <v>0</v>
      </c>
      <c r="BA41" s="78">
        <f t="shared" si="19"/>
        <v>0</v>
      </c>
      <c r="BB41" s="78">
        <f t="shared" si="19"/>
        <v>0</v>
      </c>
      <c r="BC41" s="76"/>
    </row>
    <row r="42" spans="1:55" ht="14.25" customHeight="1">
      <c r="A42" s="113"/>
      <c r="E42" s="93"/>
      <c r="H42" s="93"/>
      <c r="I42" s="248" t="s">
        <v>51</v>
      </c>
      <c r="J42" s="81">
        <f t="shared" ref="J42:BB42" si="20">COUNTIFS($E$5:$E$14,$E41,J$5:J$14,"Censored")</f>
        <v>0</v>
      </c>
      <c r="K42" s="81">
        <f t="shared" si="20"/>
        <v>0</v>
      </c>
      <c r="L42" s="81">
        <f t="shared" si="20"/>
        <v>0</v>
      </c>
      <c r="M42" s="81">
        <f t="shared" si="20"/>
        <v>0</v>
      </c>
      <c r="N42" s="81">
        <f t="shared" si="20"/>
        <v>0</v>
      </c>
      <c r="O42" s="81">
        <f t="shared" si="20"/>
        <v>0</v>
      </c>
      <c r="P42" s="81">
        <f t="shared" si="20"/>
        <v>0</v>
      </c>
      <c r="Q42" s="81">
        <f t="shared" si="20"/>
        <v>0</v>
      </c>
      <c r="R42" s="81">
        <f t="shared" si="20"/>
        <v>0</v>
      </c>
      <c r="S42" s="81">
        <f t="shared" si="20"/>
        <v>0</v>
      </c>
      <c r="T42" s="81">
        <f t="shared" si="20"/>
        <v>0</v>
      </c>
      <c r="U42" s="81">
        <f t="shared" si="20"/>
        <v>0</v>
      </c>
      <c r="V42" s="81">
        <f t="shared" si="20"/>
        <v>0</v>
      </c>
      <c r="W42" s="81">
        <f t="shared" si="20"/>
        <v>0</v>
      </c>
      <c r="X42" s="81">
        <f t="shared" si="20"/>
        <v>0</v>
      </c>
      <c r="Y42" s="81">
        <f t="shared" si="20"/>
        <v>0</v>
      </c>
      <c r="Z42" s="81">
        <f t="shared" si="20"/>
        <v>0</v>
      </c>
      <c r="AA42" s="81">
        <f t="shared" si="20"/>
        <v>0</v>
      </c>
      <c r="AB42" s="81">
        <f t="shared" si="20"/>
        <v>0</v>
      </c>
      <c r="AC42" s="81">
        <f t="shared" si="20"/>
        <v>0</v>
      </c>
      <c r="AD42" s="81">
        <f t="shared" si="20"/>
        <v>0</v>
      </c>
      <c r="AE42" s="81">
        <f t="shared" si="20"/>
        <v>0</v>
      </c>
      <c r="AF42" s="81">
        <f t="shared" si="20"/>
        <v>0</v>
      </c>
      <c r="AG42" s="81">
        <f t="shared" si="20"/>
        <v>0</v>
      </c>
      <c r="AH42" s="81">
        <f t="shared" si="20"/>
        <v>0</v>
      </c>
      <c r="AI42" s="81">
        <f t="shared" si="20"/>
        <v>0</v>
      </c>
      <c r="AJ42" s="81">
        <f t="shared" si="20"/>
        <v>0</v>
      </c>
      <c r="AK42" s="81">
        <f t="shared" si="20"/>
        <v>0</v>
      </c>
      <c r="AL42" s="81">
        <f t="shared" si="20"/>
        <v>0</v>
      </c>
      <c r="AM42" s="81">
        <f t="shared" si="20"/>
        <v>0</v>
      </c>
      <c r="AN42" s="81">
        <f t="shared" si="20"/>
        <v>0</v>
      </c>
      <c r="AO42" s="81">
        <f t="shared" si="20"/>
        <v>0</v>
      </c>
      <c r="AP42" s="81">
        <f t="shared" si="20"/>
        <v>0</v>
      </c>
      <c r="AQ42" s="81">
        <f t="shared" si="20"/>
        <v>0</v>
      </c>
      <c r="AR42" s="81">
        <f t="shared" si="20"/>
        <v>0</v>
      </c>
      <c r="AS42" s="81">
        <f t="shared" si="20"/>
        <v>0</v>
      </c>
      <c r="AT42" s="81">
        <f t="shared" si="20"/>
        <v>0</v>
      </c>
      <c r="AU42" s="81">
        <f t="shared" si="20"/>
        <v>0</v>
      </c>
      <c r="AV42" s="81">
        <f t="shared" si="20"/>
        <v>0</v>
      </c>
      <c r="AW42" s="81">
        <f t="shared" si="20"/>
        <v>0</v>
      </c>
      <c r="AX42" s="81">
        <f t="shared" si="20"/>
        <v>0</v>
      </c>
      <c r="AY42" s="81">
        <f t="shared" si="20"/>
        <v>0</v>
      </c>
      <c r="AZ42" s="81">
        <f t="shared" si="20"/>
        <v>0</v>
      </c>
      <c r="BA42" s="81">
        <f t="shared" si="20"/>
        <v>0</v>
      </c>
      <c r="BB42" s="81">
        <f t="shared" si="20"/>
        <v>0</v>
      </c>
      <c r="BC42" s="76"/>
    </row>
    <row r="43" spans="1:55" ht="14.25" customHeight="1">
      <c r="E43" s="301"/>
      <c r="H43" s="93"/>
      <c r="I43" s="248" t="s">
        <v>53</v>
      </c>
      <c r="J43" s="74" t="e">
        <f>J41/(COUNTIFS($E$5:$E$14,$E41,J$5:J$14,"Alive")+COUNTIFS($E$5:$E$14,$E41,J$5:J$14,"Sacrificed")+COUNTIFS($E$5:$E$14,$E41,J$5:J$14,"Died"))</f>
        <v>#DIV/0!</v>
      </c>
      <c r="K43" s="74" t="e">
        <f t="shared" ref="K43:BB43" si="21">K41/(COUNTIFS($E$5:$E$14,$E41,K$5:K$14,"Alive")+COUNTIFS($E$5:$E$14,$E41,K$5:K$14,"Sacrificed")+COUNTIFS($E$5:$E$14,$E41,K$5:K$14,"Died"))*J43</f>
        <v>#DIV/0!</v>
      </c>
      <c r="L43" s="74" t="e">
        <f t="shared" si="21"/>
        <v>#DIV/0!</v>
      </c>
      <c r="M43" s="74" t="e">
        <f t="shared" si="21"/>
        <v>#DIV/0!</v>
      </c>
      <c r="N43" s="74" t="e">
        <f t="shared" si="21"/>
        <v>#DIV/0!</v>
      </c>
      <c r="O43" s="74" t="e">
        <f t="shared" si="21"/>
        <v>#DIV/0!</v>
      </c>
      <c r="P43" s="74" t="e">
        <f t="shared" si="21"/>
        <v>#DIV/0!</v>
      </c>
      <c r="Q43" s="74" t="e">
        <f t="shared" si="21"/>
        <v>#DIV/0!</v>
      </c>
      <c r="R43" s="74" t="e">
        <f t="shared" si="21"/>
        <v>#DIV/0!</v>
      </c>
      <c r="S43" s="74" t="e">
        <f t="shared" si="21"/>
        <v>#DIV/0!</v>
      </c>
      <c r="T43" s="74" t="e">
        <f t="shared" si="21"/>
        <v>#DIV/0!</v>
      </c>
      <c r="U43" s="74" t="e">
        <f t="shared" si="21"/>
        <v>#DIV/0!</v>
      </c>
      <c r="V43" s="74" t="e">
        <f t="shared" si="21"/>
        <v>#DIV/0!</v>
      </c>
      <c r="W43" s="74" t="e">
        <f t="shared" si="21"/>
        <v>#DIV/0!</v>
      </c>
      <c r="X43" s="74" t="e">
        <f t="shared" si="21"/>
        <v>#DIV/0!</v>
      </c>
      <c r="Y43" s="74" t="e">
        <f t="shared" si="21"/>
        <v>#DIV/0!</v>
      </c>
      <c r="Z43" s="74" t="e">
        <f t="shared" si="21"/>
        <v>#DIV/0!</v>
      </c>
      <c r="AA43" s="74" t="e">
        <f t="shared" si="21"/>
        <v>#DIV/0!</v>
      </c>
      <c r="AB43" s="74" t="e">
        <f t="shared" si="21"/>
        <v>#DIV/0!</v>
      </c>
      <c r="AC43" s="74" t="e">
        <f t="shared" si="21"/>
        <v>#DIV/0!</v>
      </c>
      <c r="AD43" s="74" t="e">
        <f t="shared" si="21"/>
        <v>#DIV/0!</v>
      </c>
      <c r="AE43" s="74" t="e">
        <f t="shared" si="21"/>
        <v>#DIV/0!</v>
      </c>
      <c r="AF43" s="74" t="e">
        <f t="shared" si="21"/>
        <v>#DIV/0!</v>
      </c>
      <c r="AG43" s="74" t="e">
        <f t="shared" si="21"/>
        <v>#DIV/0!</v>
      </c>
      <c r="AH43" s="74" t="e">
        <f t="shared" si="21"/>
        <v>#DIV/0!</v>
      </c>
      <c r="AI43" s="74" t="e">
        <f t="shared" si="21"/>
        <v>#DIV/0!</v>
      </c>
      <c r="AJ43" s="74" t="e">
        <f t="shared" si="21"/>
        <v>#DIV/0!</v>
      </c>
      <c r="AK43" s="74" t="e">
        <f t="shared" si="21"/>
        <v>#DIV/0!</v>
      </c>
      <c r="AL43" s="74" t="e">
        <f t="shared" si="21"/>
        <v>#DIV/0!</v>
      </c>
      <c r="AM43" s="74" t="e">
        <f t="shared" si="21"/>
        <v>#DIV/0!</v>
      </c>
      <c r="AN43" s="74" t="e">
        <f t="shared" si="21"/>
        <v>#DIV/0!</v>
      </c>
      <c r="AO43" s="74" t="e">
        <f t="shared" si="21"/>
        <v>#DIV/0!</v>
      </c>
      <c r="AP43" s="74" t="e">
        <f t="shared" si="21"/>
        <v>#DIV/0!</v>
      </c>
      <c r="AQ43" s="74" t="e">
        <f t="shared" si="21"/>
        <v>#DIV/0!</v>
      </c>
      <c r="AR43" s="74" t="e">
        <f t="shared" si="21"/>
        <v>#DIV/0!</v>
      </c>
      <c r="AS43" s="74" t="e">
        <f t="shared" si="21"/>
        <v>#DIV/0!</v>
      </c>
      <c r="AT43" s="74" t="e">
        <f t="shared" si="21"/>
        <v>#DIV/0!</v>
      </c>
      <c r="AU43" s="74" t="e">
        <f t="shared" si="21"/>
        <v>#DIV/0!</v>
      </c>
      <c r="AV43" s="74" t="e">
        <f t="shared" si="21"/>
        <v>#DIV/0!</v>
      </c>
      <c r="AW43" s="74" t="e">
        <f t="shared" si="21"/>
        <v>#DIV/0!</v>
      </c>
      <c r="AX43" s="74" t="e">
        <f t="shared" si="21"/>
        <v>#DIV/0!</v>
      </c>
      <c r="AY43" s="74" t="e">
        <f t="shared" si="21"/>
        <v>#DIV/0!</v>
      </c>
      <c r="AZ43" s="74" t="e">
        <f t="shared" si="21"/>
        <v>#DIV/0!</v>
      </c>
      <c r="BA43" s="74" t="e">
        <f t="shared" si="21"/>
        <v>#DIV/0!</v>
      </c>
      <c r="BB43" s="74" t="e">
        <f t="shared" si="21"/>
        <v>#DIV/0!</v>
      </c>
      <c r="BC43" s="3"/>
    </row>
    <row r="45" spans="1:55" ht="14.25" customHeight="1">
      <c r="A45" s="113"/>
      <c r="E45" s="118" t="str">
        <f>'AsPc1 REPEAT Groups'!C12</f>
        <v>Group 7</v>
      </c>
      <c r="H45" s="118" t="str">
        <f>E45</f>
        <v>Group 7</v>
      </c>
      <c r="I45" s="248" t="s">
        <v>52</v>
      </c>
      <c r="J45" s="78">
        <f t="shared" ref="J45:BB45" si="22">COUNTIFS($E$5:$E$14,$E45,J$5:J$14,"Alive")</f>
        <v>0</v>
      </c>
      <c r="K45" s="78">
        <f t="shared" si="22"/>
        <v>0</v>
      </c>
      <c r="L45" s="78">
        <f t="shared" si="22"/>
        <v>0</v>
      </c>
      <c r="M45" s="78">
        <f t="shared" si="22"/>
        <v>0</v>
      </c>
      <c r="N45" s="78">
        <f t="shared" si="22"/>
        <v>0</v>
      </c>
      <c r="O45" s="78">
        <f t="shared" si="22"/>
        <v>0</v>
      </c>
      <c r="P45" s="78">
        <f t="shared" si="22"/>
        <v>0</v>
      </c>
      <c r="Q45" s="78">
        <f t="shared" si="22"/>
        <v>0</v>
      </c>
      <c r="R45" s="78">
        <f t="shared" si="22"/>
        <v>0</v>
      </c>
      <c r="S45" s="78">
        <f t="shared" si="22"/>
        <v>0</v>
      </c>
      <c r="T45" s="78">
        <f t="shared" si="22"/>
        <v>0</v>
      </c>
      <c r="U45" s="78">
        <f t="shared" si="22"/>
        <v>0</v>
      </c>
      <c r="V45" s="78">
        <f t="shared" si="22"/>
        <v>0</v>
      </c>
      <c r="W45" s="78">
        <f t="shared" si="22"/>
        <v>0</v>
      </c>
      <c r="X45" s="78">
        <f t="shared" si="22"/>
        <v>0</v>
      </c>
      <c r="Y45" s="78">
        <f t="shared" si="22"/>
        <v>0</v>
      </c>
      <c r="Z45" s="78">
        <f t="shared" si="22"/>
        <v>0</v>
      </c>
      <c r="AA45" s="78">
        <f t="shared" si="22"/>
        <v>0</v>
      </c>
      <c r="AB45" s="78">
        <f t="shared" si="22"/>
        <v>0</v>
      </c>
      <c r="AC45" s="78">
        <f t="shared" si="22"/>
        <v>0</v>
      </c>
      <c r="AD45" s="78">
        <f t="shared" si="22"/>
        <v>0</v>
      </c>
      <c r="AE45" s="78">
        <f t="shared" si="22"/>
        <v>0</v>
      </c>
      <c r="AF45" s="78">
        <f t="shared" si="22"/>
        <v>0</v>
      </c>
      <c r="AG45" s="78">
        <f t="shared" si="22"/>
        <v>0</v>
      </c>
      <c r="AH45" s="78">
        <f t="shared" si="22"/>
        <v>0</v>
      </c>
      <c r="AI45" s="78">
        <f t="shared" si="22"/>
        <v>0</v>
      </c>
      <c r="AJ45" s="78">
        <f t="shared" si="22"/>
        <v>0</v>
      </c>
      <c r="AK45" s="78">
        <f t="shared" si="22"/>
        <v>0</v>
      </c>
      <c r="AL45" s="78">
        <f t="shared" si="22"/>
        <v>0</v>
      </c>
      <c r="AM45" s="78">
        <f t="shared" si="22"/>
        <v>0</v>
      </c>
      <c r="AN45" s="78">
        <f t="shared" si="22"/>
        <v>0</v>
      </c>
      <c r="AO45" s="78">
        <f t="shared" si="22"/>
        <v>0</v>
      </c>
      <c r="AP45" s="78">
        <f t="shared" si="22"/>
        <v>0</v>
      </c>
      <c r="AQ45" s="78">
        <f t="shared" si="22"/>
        <v>0</v>
      </c>
      <c r="AR45" s="78">
        <f t="shared" si="22"/>
        <v>0</v>
      </c>
      <c r="AS45" s="78">
        <f t="shared" si="22"/>
        <v>0</v>
      </c>
      <c r="AT45" s="78">
        <f t="shared" si="22"/>
        <v>0</v>
      </c>
      <c r="AU45" s="78">
        <f t="shared" si="22"/>
        <v>0</v>
      </c>
      <c r="AV45" s="78">
        <f t="shared" si="22"/>
        <v>0</v>
      </c>
      <c r="AW45" s="78">
        <f t="shared" si="22"/>
        <v>0</v>
      </c>
      <c r="AX45" s="78">
        <f t="shared" si="22"/>
        <v>0</v>
      </c>
      <c r="AY45" s="78">
        <f t="shared" si="22"/>
        <v>0</v>
      </c>
      <c r="AZ45" s="78">
        <f t="shared" si="22"/>
        <v>0</v>
      </c>
      <c r="BA45" s="78">
        <f t="shared" si="22"/>
        <v>0</v>
      </c>
      <c r="BB45" s="78">
        <f t="shared" si="22"/>
        <v>0</v>
      </c>
      <c r="BC45" s="76"/>
    </row>
    <row r="46" spans="1:55" ht="14.25" customHeight="1">
      <c r="A46" s="113"/>
      <c r="E46" s="93"/>
      <c r="H46" s="93"/>
      <c r="I46" s="248" t="s">
        <v>51</v>
      </c>
      <c r="J46" s="81">
        <f t="shared" ref="J46:BB46" si="23">COUNTIFS($E$5:$E$14,$E45,J$5:J$14,"Censored")</f>
        <v>0</v>
      </c>
      <c r="K46" s="81">
        <f t="shared" si="23"/>
        <v>0</v>
      </c>
      <c r="L46" s="81">
        <f t="shared" si="23"/>
        <v>0</v>
      </c>
      <c r="M46" s="81">
        <f t="shared" si="23"/>
        <v>0</v>
      </c>
      <c r="N46" s="81">
        <f t="shared" si="23"/>
        <v>0</v>
      </c>
      <c r="O46" s="81">
        <f t="shared" si="23"/>
        <v>0</v>
      </c>
      <c r="P46" s="81">
        <f t="shared" si="23"/>
        <v>0</v>
      </c>
      <c r="Q46" s="81">
        <f t="shared" si="23"/>
        <v>0</v>
      </c>
      <c r="R46" s="81">
        <f t="shared" si="23"/>
        <v>0</v>
      </c>
      <c r="S46" s="81">
        <f t="shared" si="23"/>
        <v>0</v>
      </c>
      <c r="T46" s="81">
        <f t="shared" si="23"/>
        <v>0</v>
      </c>
      <c r="U46" s="81">
        <f t="shared" si="23"/>
        <v>0</v>
      </c>
      <c r="V46" s="81">
        <f t="shared" si="23"/>
        <v>0</v>
      </c>
      <c r="W46" s="81">
        <f t="shared" si="23"/>
        <v>0</v>
      </c>
      <c r="X46" s="81">
        <f t="shared" si="23"/>
        <v>0</v>
      </c>
      <c r="Y46" s="81">
        <f t="shared" si="23"/>
        <v>0</v>
      </c>
      <c r="Z46" s="81">
        <f t="shared" si="23"/>
        <v>0</v>
      </c>
      <c r="AA46" s="81">
        <f t="shared" si="23"/>
        <v>0</v>
      </c>
      <c r="AB46" s="81">
        <f t="shared" si="23"/>
        <v>0</v>
      </c>
      <c r="AC46" s="81">
        <f t="shared" si="23"/>
        <v>0</v>
      </c>
      <c r="AD46" s="81">
        <f t="shared" si="23"/>
        <v>0</v>
      </c>
      <c r="AE46" s="81">
        <f t="shared" si="23"/>
        <v>0</v>
      </c>
      <c r="AF46" s="81">
        <f t="shared" si="23"/>
        <v>0</v>
      </c>
      <c r="AG46" s="81">
        <f t="shared" si="23"/>
        <v>0</v>
      </c>
      <c r="AH46" s="81">
        <f t="shared" si="23"/>
        <v>0</v>
      </c>
      <c r="AI46" s="81">
        <f t="shared" si="23"/>
        <v>0</v>
      </c>
      <c r="AJ46" s="81">
        <f t="shared" si="23"/>
        <v>0</v>
      </c>
      <c r="AK46" s="81">
        <f t="shared" si="23"/>
        <v>0</v>
      </c>
      <c r="AL46" s="81">
        <f t="shared" si="23"/>
        <v>0</v>
      </c>
      <c r="AM46" s="81">
        <f t="shared" si="23"/>
        <v>0</v>
      </c>
      <c r="AN46" s="81">
        <f t="shared" si="23"/>
        <v>0</v>
      </c>
      <c r="AO46" s="81">
        <f t="shared" si="23"/>
        <v>0</v>
      </c>
      <c r="AP46" s="81">
        <f t="shared" si="23"/>
        <v>0</v>
      </c>
      <c r="AQ46" s="81">
        <f t="shared" si="23"/>
        <v>0</v>
      </c>
      <c r="AR46" s="81">
        <f t="shared" si="23"/>
        <v>0</v>
      </c>
      <c r="AS46" s="81">
        <f t="shared" si="23"/>
        <v>0</v>
      </c>
      <c r="AT46" s="81">
        <f t="shared" si="23"/>
        <v>0</v>
      </c>
      <c r="AU46" s="81">
        <f t="shared" si="23"/>
        <v>0</v>
      </c>
      <c r="AV46" s="81">
        <f t="shared" si="23"/>
        <v>0</v>
      </c>
      <c r="AW46" s="81">
        <f t="shared" si="23"/>
        <v>0</v>
      </c>
      <c r="AX46" s="81">
        <f t="shared" si="23"/>
        <v>0</v>
      </c>
      <c r="AY46" s="81">
        <f t="shared" si="23"/>
        <v>0</v>
      </c>
      <c r="AZ46" s="81">
        <f t="shared" si="23"/>
        <v>0</v>
      </c>
      <c r="BA46" s="81">
        <f t="shared" si="23"/>
        <v>0</v>
      </c>
      <c r="BB46" s="81">
        <f t="shared" si="23"/>
        <v>0</v>
      </c>
      <c r="BC46" s="76"/>
    </row>
    <row r="47" spans="1:55" ht="14.25" customHeight="1">
      <c r="E47" s="301"/>
      <c r="H47" s="93"/>
      <c r="I47" s="248" t="s">
        <v>53</v>
      </c>
      <c r="J47" s="74" t="e">
        <f>J45/(COUNTIFS($E$5:$E$14,$E45,J$5:J$14,"Alive")+COUNTIFS($E$5:$E$14,$E45,J$5:J$14,"Sacrificed")+COUNTIFS($E$5:$E$14,$E45,J$5:J$14,"Died"))</f>
        <v>#DIV/0!</v>
      </c>
      <c r="K47" s="74" t="e">
        <f t="shared" ref="K47:BB47" si="24">K45/(COUNTIFS($E$5:$E$14,$E45,K$5:K$14,"Alive")+COUNTIFS($E$5:$E$14,$E45,K$5:K$14,"Sacrificed")+COUNTIFS($E$5:$E$14,$E45,K$5:K$14,"Died"))*J47</f>
        <v>#DIV/0!</v>
      </c>
      <c r="L47" s="74" t="e">
        <f t="shared" si="24"/>
        <v>#DIV/0!</v>
      </c>
      <c r="M47" s="74" t="e">
        <f t="shared" si="24"/>
        <v>#DIV/0!</v>
      </c>
      <c r="N47" s="74" t="e">
        <f t="shared" si="24"/>
        <v>#DIV/0!</v>
      </c>
      <c r="O47" s="74" t="e">
        <f t="shared" si="24"/>
        <v>#DIV/0!</v>
      </c>
      <c r="P47" s="74" t="e">
        <f t="shared" si="24"/>
        <v>#DIV/0!</v>
      </c>
      <c r="Q47" s="74" t="e">
        <f t="shared" si="24"/>
        <v>#DIV/0!</v>
      </c>
      <c r="R47" s="74" t="e">
        <f t="shared" si="24"/>
        <v>#DIV/0!</v>
      </c>
      <c r="S47" s="74" t="e">
        <f t="shared" si="24"/>
        <v>#DIV/0!</v>
      </c>
      <c r="T47" s="74" t="e">
        <f t="shared" si="24"/>
        <v>#DIV/0!</v>
      </c>
      <c r="U47" s="74" t="e">
        <f t="shared" si="24"/>
        <v>#DIV/0!</v>
      </c>
      <c r="V47" s="74" t="e">
        <f t="shared" si="24"/>
        <v>#DIV/0!</v>
      </c>
      <c r="W47" s="74" t="e">
        <f t="shared" si="24"/>
        <v>#DIV/0!</v>
      </c>
      <c r="X47" s="74" t="e">
        <f t="shared" si="24"/>
        <v>#DIV/0!</v>
      </c>
      <c r="Y47" s="74" t="e">
        <f t="shared" si="24"/>
        <v>#DIV/0!</v>
      </c>
      <c r="Z47" s="74" t="e">
        <f t="shared" si="24"/>
        <v>#DIV/0!</v>
      </c>
      <c r="AA47" s="74" t="e">
        <f t="shared" si="24"/>
        <v>#DIV/0!</v>
      </c>
      <c r="AB47" s="74" t="e">
        <f t="shared" si="24"/>
        <v>#DIV/0!</v>
      </c>
      <c r="AC47" s="74" t="e">
        <f t="shared" si="24"/>
        <v>#DIV/0!</v>
      </c>
      <c r="AD47" s="74" t="e">
        <f t="shared" si="24"/>
        <v>#DIV/0!</v>
      </c>
      <c r="AE47" s="74" t="e">
        <f t="shared" si="24"/>
        <v>#DIV/0!</v>
      </c>
      <c r="AF47" s="74" t="e">
        <f t="shared" si="24"/>
        <v>#DIV/0!</v>
      </c>
      <c r="AG47" s="74" t="e">
        <f t="shared" si="24"/>
        <v>#DIV/0!</v>
      </c>
      <c r="AH47" s="74" t="e">
        <f t="shared" si="24"/>
        <v>#DIV/0!</v>
      </c>
      <c r="AI47" s="74" t="e">
        <f t="shared" si="24"/>
        <v>#DIV/0!</v>
      </c>
      <c r="AJ47" s="74" t="e">
        <f t="shared" si="24"/>
        <v>#DIV/0!</v>
      </c>
      <c r="AK47" s="74" t="e">
        <f t="shared" si="24"/>
        <v>#DIV/0!</v>
      </c>
      <c r="AL47" s="74" t="e">
        <f t="shared" si="24"/>
        <v>#DIV/0!</v>
      </c>
      <c r="AM47" s="74" t="e">
        <f t="shared" si="24"/>
        <v>#DIV/0!</v>
      </c>
      <c r="AN47" s="74" t="e">
        <f t="shared" si="24"/>
        <v>#DIV/0!</v>
      </c>
      <c r="AO47" s="74" t="e">
        <f t="shared" si="24"/>
        <v>#DIV/0!</v>
      </c>
      <c r="AP47" s="74" t="e">
        <f t="shared" si="24"/>
        <v>#DIV/0!</v>
      </c>
      <c r="AQ47" s="74" t="e">
        <f t="shared" si="24"/>
        <v>#DIV/0!</v>
      </c>
      <c r="AR47" s="74" t="e">
        <f t="shared" si="24"/>
        <v>#DIV/0!</v>
      </c>
      <c r="AS47" s="74" t="e">
        <f t="shared" si="24"/>
        <v>#DIV/0!</v>
      </c>
      <c r="AT47" s="74" t="e">
        <f t="shared" si="24"/>
        <v>#DIV/0!</v>
      </c>
      <c r="AU47" s="74" t="e">
        <f t="shared" si="24"/>
        <v>#DIV/0!</v>
      </c>
      <c r="AV47" s="74" t="e">
        <f t="shared" si="24"/>
        <v>#DIV/0!</v>
      </c>
      <c r="AW47" s="74" t="e">
        <f t="shared" si="24"/>
        <v>#DIV/0!</v>
      </c>
      <c r="AX47" s="74" t="e">
        <f t="shared" si="24"/>
        <v>#DIV/0!</v>
      </c>
      <c r="AY47" s="74" t="e">
        <f t="shared" si="24"/>
        <v>#DIV/0!</v>
      </c>
      <c r="AZ47" s="74" t="e">
        <f t="shared" si="24"/>
        <v>#DIV/0!</v>
      </c>
      <c r="BA47" s="74" t="e">
        <f t="shared" si="24"/>
        <v>#DIV/0!</v>
      </c>
      <c r="BB47" s="74" t="e">
        <f t="shared" si="24"/>
        <v>#DIV/0!</v>
      </c>
      <c r="BC47" s="3"/>
    </row>
    <row r="49" spans="1:55" ht="14.25" customHeight="1">
      <c r="A49" s="113"/>
      <c r="E49" s="118" t="str">
        <f>'AsPc1 REPEAT Groups'!C13</f>
        <v>Group 8</v>
      </c>
      <c r="H49" s="118" t="str">
        <f>E49</f>
        <v>Group 8</v>
      </c>
      <c r="I49" s="248" t="s">
        <v>52</v>
      </c>
      <c r="J49" s="78">
        <f t="shared" ref="J49:BB49" si="25">COUNTIFS($E$5:$E$14,$E49,J$5:J$14,"Alive")</f>
        <v>0</v>
      </c>
      <c r="K49" s="78">
        <f t="shared" si="25"/>
        <v>0</v>
      </c>
      <c r="L49" s="78">
        <f t="shared" si="25"/>
        <v>0</v>
      </c>
      <c r="M49" s="78">
        <f t="shared" si="25"/>
        <v>0</v>
      </c>
      <c r="N49" s="78">
        <f t="shared" si="25"/>
        <v>0</v>
      </c>
      <c r="O49" s="78">
        <f t="shared" si="25"/>
        <v>0</v>
      </c>
      <c r="P49" s="78">
        <f t="shared" si="25"/>
        <v>0</v>
      </c>
      <c r="Q49" s="78">
        <f t="shared" si="25"/>
        <v>0</v>
      </c>
      <c r="R49" s="78">
        <f t="shared" si="25"/>
        <v>0</v>
      </c>
      <c r="S49" s="78">
        <f t="shared" si="25"/>
        <v>0</v>
      </c>
      <c r="T49" s="78">
        <f t="shared" si="25"/>
        <v>0</v>
      </c>
      <c r="U49" s="78">
        <f t="shared" si="25"/>
        <v>0</v>
      </c>
      <c r="V49" s="78">
        <f t="shared" si="25"/>
        <v>0</v>
      </c>
      <c r="W49" s="78">
        <f t="shared" si="25"/>
        <v>0</v>
      </c>
      <c r="X49" s="78">
        <f t="shared" si="25"/>
        <v>0</v>
      </c>
      <c r="Y49" s="78">
        <f t="shared" si="25"/>
        <v>0</v>
      </c>
      <c r="Z49" s="78">
        <f t="shared" si="25"/>
        <v>0</v>
      </c>
      <c r="AA49" s="78">
        <f t="shared" si="25"/>
        <v>0</v>
      </c>
      <c r="AB49" s="78">
        <f t="shared" si="25"/>
        <v>0</v>
      </c>
      <c r="AC49" s="78">
        <f t="shared" si="25"/>
        <v>0</v>
      </c>
      <c r="AD49" s="78">
        <f t="shared" si="25"/>
        <v>0</v>
      </c>
      <c r="AE49" s="78">
        <f t="shared" si="25"/>
        <v>0</v>
      </c>
      <c r="AF49" s="78">
        <f t="shared" si="25"/>
        <v>0</v>
      </c>
      <c r="AG49" s="78">
        <f t="shared" si="25"/>
        <v>0</v>
      </c>
      <c r="AH49" s="78">
        <f t="shared" si="25"/>
        <v>0</v>
      </c>
      <c r="AI49" s="78">
        <f t="shared" si="25"/>
        <v>0</v>
      </c>
      <c r="AJ49" s="78">
        <f t="shared" si="25"/>
        <v>0</v>
      </c>
      <c r="AK49" s="78">
        <f t="shared" si="25"/>
        <v>0</v>
      </c>
      <c r="AL49" s="78">
        <f t="shared" si="25"/>
        <v>0</v>
      </c>
      <c r="AM49" s="78">
        <f t="shared" si="25"/>
        <v>0</v>
      </c>
      <c r="AN49" s="78">
        <f t="shared" si="25"/>
        <v>0</v>
      </c>
      <c r="AO49" s="78">
        <f t="shared" si="25"/>
        <v>0</v>
      </c>
      <c r="AP49" s="78">
        <f t="shared" si="25"/>
        <v>0</v>
      </c>
      <c r="AQ49" s="78">
        <f t="shared" si="25"/>
        <v>0</v>
      </c>
      <c r="AR49" s="78">
        <f t="shared" si="25"/>
        <v>0</v>
      </c>
      <c r="AS49" s="78">
        <f t="shared" si="25"/>
        <v>0</v>
      </c>
      <c r="AT49" s="78">
        <f t="shared" si="25"/>
        <v>0</v>
      </c>
      <c r="AU49" s="78">
        <f t="shared" si="25"/>
        <v>0</v>
      </c>
      <c r="AV49" s="78">
        <f t="shared" si="25"/>
        <v>0</v>
      </c>
      <c r="AW49" s="78">
        <f t="shared" si="25"/>
        <v>0</v>
      </c>
      <c r="AX49" s="78">
        <f t="shared" si="25"/>
        <v>0</v>
      </c>
      <c r="AY49" s="78">
        <f t="shared" si="25"/>
        <v>0</v>
      </c>
      <c r="AZ49" s="78">
        <f t="shared" si="25"/>
        <v>0</v>
      </c>
      <c r="BA49" s="78">
        <f t="shared" si="25"/>
        <v>0</v>
      </c>
      <c r="BB49" s="78">
        <f t="shared" si="25"/>
        <v>0</v>
      </c>
      <c r="BC49" s="76"/>
    </row>
    <row r="50" spans="1:55" ht="14.25" customHeight="1">
      <c r="A50" s="113"/>
      <c r="E50" s="93"/>
      <c r="H50" s="93"/>
      <c r="I50" s="248" t="s">
        <v>51</v>
      </c>
      <c r="J50" s="81">
        <f t="shared" ref="J50:BB50" si="26">COUNTIFS($E$5:$E$14,$E49,J$5:J$14,"Censored")</f>
        <v>0</v>
      </c>
      <c r="K50" s="81">
        <f t="shared" si="26"/>
        <v>0</v>
      </c>
      <c r="L50" s="81">
        <f t="shared" si="26"/>
        <v>0</v>
      </c>
      <c r="M50" s="81">
        <f t="shared" si="26"/>
        <v>0</v>
      </c>
      <c r="N50" s="81">
        <f t="shared" si="26"/>
        <v>0</v>
      </c>
      <c r="O50" s="81">
        <f t="shared" si="26"/>
        <v>0</v>
      </c>
      <c r="P50" s="81">
        <f t="shared" si="26"/>
        <v>0</v>
      </c>
      <c r="Q50" s="81">
        <f t="shared" si="26"/>
        <v>0</v>
      </c>
      <c r="R50" s="81">
        <f t="shared" si="26"/>
        <v>0</v>
      </c>
      <c r="S50" s="81">
        <f t="shared" si="26"/>
        <v>0</v>
      </c>
      <c r="T50" s="81">
        <f t="shared" si="26"/>
        <v>0</v>
      </c>
      <c r="U50" s="81">
        <f t="shared" si="26"/>
        <v>0</v>
      </c>
      <c r="V50" s="81">
        <f t="shared" si="26"/>
        <v>0</v>
      </c>
      <c r="W50" s="81">
        <f t="shared" si="26"/>
        <v>0</v>
      </c>
      <c r="X50" s="81">
        <f t="shared" si="26"/>
        <v>0</v>
      </c>
      <c r="Y50" s="81">
        <f t="shared" si="26"/>
        <v>0</v>
      </c>
      <c r="Z50" s="81">
        <f t="shared" si="26"/>
        <v>0</v>
      </c>
      <c r="AA50" s="81">
        <f t="shared" si="26"/>
        <v>0</v>
      </c>
      <c r="AB50" s="81">
        <f t="shared" si="26"/>
        <v>0</v>
      </c>
      <c r="AC50" s="81">
        <f t="shared" si="26"/>
        <v>0</v>
      </c>
      <c r="AD50" s="81">
        <f t="shared" si="26"/>
        <v>0</v>
      </c>
      <c r="AE50" s="81">
        <f t="shared" si="26"/>
        <v>0</v>
      </c>
      <c r="AF50" s="81">
        <f t="shared" si="26"/>
        <v>0</v>
      </c>
      <c r="AG50" s="81">
        <f t="shared" si="26"/>
        <v>0</v>
      </c>
      <c r="AH50" s="81">
        <f t="shared" si="26"/>
        <v>0</v>
      </c>
      <c r="AI50" s="81">
        <f t="shared" si="26"/>
        <v>0</v>
      </c>
      <c r="AJ50" s="81">
        <f t="shared" si="26"/>
        <v>0</v>
      </c>
      <c r="AK50" s="81">
        <f t="shared" si="26"/>
        <v>0</v>
      </c>
      <c r="AL50" s="81">
        <f t="shared" si="26"/>
        <v>0</v>
      </c>
      <c r="AM50" s="81">
        <f t="shared" si="26"/>
        <v>0</v>
      </c>
      <c r="AN50" s="81">
        <f t="shared" si="26"/>
        <v>0</v>
      </c>
      <c r="AO50" s="81">
        <f t="shared" si="26"/>
        <v>0</v>
      </c>
      <c r="AP50" s="81">
        <f t="shared" si="26"/>
        <v>0</v>
      </c>
      <c r="AQ50" s="81">
        <f t="shared" si="26"/>
        <v>0</v>
      </c>
      <c r="AR50" s="81">
        <f t="shared" si="26"/>
        <v>0</v>
      </c>
      <c r="AS50" s="81">
        <f t="shared" si="26"/>
        <v>0</v>
      </c>
      <c r="AT50" s="81">
        <f t="shared" si="26"/>
        <v>0</v>
      </c>
      <c r="AU50" s="81">
        <f t="shared" si="26"/>
        <v>0</v>
      </c>
      <c r="AV50" s="81">
        <f t="shared" si="26"/>
        <v>0</v>
      </c>
      <c r="AW50" s="81">
        <f t="shared" si="26"/>
        <v>0</v>
      </c>
      <c r="AX50" s="81">
        <f t="shared" si="26"/>
        <v>0</v>
      </c>
      <c r="AY50" s="81">
        <f t="shared" si="26"/>
        <v>0</v>
      </c>
      <c r="AZ50" s="81">
        <f t="shared" si="26"/>
        <v>0</v>
      </c>
      <c r="BA50" s="81">
        <f t="shared" si="26"/>
        <v>0</v>
      </c>
      <c r="BB50" s="81">
        <f t="shared" si="26"/>
        <v>0</v>
      </c>
      <c r="BC50" s="76"/>
    </row>
    <row r="51" spans="1:55" ht="14.25" customHeight="1">
      <c r="E51" s="301"/>
      <c r="H51" s="93"/>
      <c r="I51" s="248" t="s">
        <v>53</v>
      </c>
      <c r="J51" s="74" t="e">
        <f>J49/(COUNTIFS($E$5:$E$14,$E49,J$5:J$14,"Alive")+COUNTIFS($E$5:$E$14,$E49,J$5:J$14,"Sacrificed")+COUNTIFS($E$5:$E$14,$E49,J$5:J$14,"Died"))</f>
        <v>#DIV/0!</v>
      </c>
      <c r="K51" s="74" t="e">
        <f t="shared" ref="K51:BB51" si="27">K49/(COUNTIFS($E$5:$E$14,$E49,K$5:K$14,"Alive")+COUNTIFS($E$5:$E$14,$E49,K$5:K$14,"Sacrificed")+COUNTIFS($E$5:$E$14,$E49,K$5:K$14,"Died"))*J51</f>
        <v>#DIV/0!</v>
      </c>
      <c r="L51" s="74" t="e">
        <f t="shared" si="27"/>
        <v>#DIV/0!</v>
      </c>
      <c r="M51" s="74" t="e">
        <f t="shared" si="27"/>
        <v>#DIV/0!</v>
      </c>
      <c r="N51" s="74" t="e">
        <f t="shared" si="27"/>
        <v>#DIV/0!</v>
      </c>
      <c r="O51" s="74" t="e">
        <f t="shared" si="27"/>
        <v>#DIV/0!</v>
      </c>
      <c r="P51" s="74" t="e">
        <f t="shared" si="27"/>
        <v>#DIV/0!</v>
      </c>
      <c r="Q51" s="74" t="e">
        <f t="shared" si="27"/>
        <v>#DIV/0!</v>
      </c>
      <c r="R51" s="74" t="e">
        <f t="shared" si="27"/>
        <v>#DIV/0!</v>
      </c>
      <c r="S51" s="74" t="e">
        <f t="shared" si="27"/>
        <v>#DIV/0!</v>
      </c>
      <c r="T51" s="74" t="e">
        <f t="shared" si="27"/>
        <v>#DIV/0!</v>
      </c>
      <c r="U51" s="74" t="e">
        <f t="shared" si="27"/>
        <v>#DIV/0!</v>
      </c>
      <c r="V51" s="74" t="e">
        <f t="shared" si="27"/>
        <v>#DIV/0!</v>
      </c>
      <c r="W51" s="74" t="e">
        <f t="shared" si="27"/>
        <v>#DIV/0!</v>
      </c>
      <c r="X51" s="74" t="e">
        <f t="shared" si="27"/>
        <v>#DIV/0!</v>
      </c>
      <c r="Y51" s="74" t="e">
        <f t="shared" si="27"/>
        <v>#DIV/0!</v>
      </c>
      <c r="Z51" s="74" t="e">
        <f t="shared" si="27"/>
        <v>#DIV/0!</v>
      </c>
      <c r="AA51" s="74" t="e">
        <f t="shared" si="27"/>
        <v>#DIV/0!</v>
      </c>
      <c r="AB51" s="74" t="e">
        <f t="shared" si="27"/>
        <v>#DIV/0!</v>
      </c>
      <c r="AC51" s="74" t="e">
        <f t="shared" si="27"/>
        <v>#DIV/0!</v>
      </c>
      <c r="AD51" s="74" t="e">
        <f t="shared" si="27"/>
        <v>#DIV/0!</v>
      </c>
      <c r="AE51" s="74" t="e">
        <f t="shared" si="27"/>
        <v>#DIV/0!</v>
      </c>
      <c r="AF51" s="74" t="e">
        <f t="shared" si="27"/>
        <v>#DIV/0!</v>
      </c>
      <c r="AG51" s="74" t="e">
        <f t="shared" si="27"/>
        <v>#DIV/0!</v>
      </c>
      <c r="AH51" s="74" t="e">
        <f t="shared" si="27"/>
        <v>#DIV/0!</v>
      </c>
      <c r="AI51" s="74" t="e">
        <f t="shared" si="27"/>
        <v>#DIV/0!</v>
      </c>
      <c r="AJ51" s="74" t="e">
        <f t="shared" si="27"/>
        <v>#DIV/0!</v>
      </c>
      <c r="AK51" s="74" t="e">
        <f t="shared" si="27"/>
        <v>#DIV/0!</v>
      </c>
      <c r="AL51" s="74" t="e">
        <f t="shared" si="27"/>
        <v>#DIV/0!</v>
      </c>
      <c r="AM51" s="74" t="e">
        <f t="shared" si="27"/>
        <v>#DIV/0!</v>
      </c>
      <c r="AN51" s="74" t="e">
        <f t="shared" si="27"/>
        <v>#DIV/0!</v>
      </c>
      <c r="AO51" s="74" t="e">
        <f t="shared" si="27"/>
        <v>#DIV/0!</v>
      </c>
      <c r="AP51" s="74" t="e">
        <f t="shared" si="27"/>
        <v>#DIV/0!</v>
      </c>
      <c r="AQ51" s="74" t="e">
        <f t="shared" si="27"/>
        <v>#DIV/0!</v>
      </c>
      <c r="AR51" s="74" t="e">
        <f t="shared" si="27"/>
        <v>#DIV/0!</v>
      </c>
      <c r="AS51" s="74" t="e">
        <f t="shared" si="27"/>
        <v>#DIV/0!</v>
      </c>
      <c r="AT51" s="74" t="e">
        <f t="shared" si="27"/>
        <v>#DIV/0!</v>
      </c>
      <c r="AU51" s="74" t="e">
        <f t="shared" si="27"/>
        <v>#DIV/0!</v>
      </c>
      <c r="AV51" s="74" t="e">
        <f t="shared" si="27"/>
        <v>#DIV/0!</v>
      </c>
      <c r="AW51" s="74" t="e">
        <f t="shared" si="27"/>
        <v>#DIV/0!</v>
      </c>
      <c r="AX51" s="74" t="e">
        <f t="shared" si="27"/>
        <v>#DIV/0!</v>
      </c>
      <c r="AY51" s="74" t="e">
        <f t="shared" si="27"/>
        <v>#DIV/0!</v>
      </c>
      <c r="AZ51" s="74" t="e">
        <f t="shared" si="27"/>
        <v>#DIV/0!</v>
      </c>
      <c r="BA51" s="74" t="e">
        <f t="shared" si="27"/>
        <v>#DIV/0!</v>
      </c>
      <c r="BB51" s="74" t="e">
        <f t="shared" si="27"/>
        <v>#DIV/0!</v>
      </c>
      <c r="BC51" s="3"/>
    </row>
    <row r="53" spans="1:55" ht="14.25" customHeight="1">
      <c r="A53" s="113"/>
      <c r="E53" s="118" t="str">
        <f>'AsPc1 REPEAT Groups'!C14</f>
        <v>Group 9</v>
      </c>
      <c r="H53" s="118" t="str">
        <f>E53</f>
        <v>Group 9</v>
      </c>
      <c r="I53" s="248" t="s">
        <v>52</v>
      </c>
      <c r="J53" s="78">
        <f t="shared" ref="J53:BB53" si="28">COUNTIFS($E$5:$E$14,$E53,J$5:J$14,"Alive")</f>
        <v>0</v>
      </c>
      <c r="K53" s="78">
        <f t="shared" si="28"/>
        <v>0</v>
      </c>
      <c r="L53" s="78">
        <f t="shared" si="28"/>
        <v>0</v>
      </c>
      <c r="M53" s="78">
        <f t="shared" si="28"/>
        <v>0</v>
      </c>
      <c r="N53" s="78">
        <f t="shared" si="28"/>
        <v>0</v>
      </c>
      <c r="O53" s="78">
        <f t="shared" si="28"/>
        <v>0</v>
      </c>
      <c r="P53" s="78">
        <f t="shared" si="28"/>
        <v>0</v>
      </c>
      <c r="Q53" s="78">
        <f t="shared" si="28"/>
        <v>0</v>
      </c>
      <c r="R53" s="78">
        <f t="shared" si="28"/>
        <v>0</v>
      </c>
      <c r="S53" s="78">
        <f t="shared" si="28"/>
        <v>0</v>
      </c>
      <c r="T53" s="78">
        <f t="shared" si="28"/>
        <v>0</v>
      </c>
      <c r="U53" s="78">
        <f t="shared" si="28"/>
        <v>0</v>
      </c>
      <c r="V53" s="78">
        <f t="shared" si="28"/>
        <v>0</v>
      </c>
      <c r="W53" s="78">
        <f t="shared" si="28"/>
        <v>0</v>
      </c>
      <c r="X53" s="78">
        <f t="shared" si="28"/>
        <v>0</v>
      </c>
      <c r="Y53" s="78">
        <f t="shared" si="28"/>
        <v>0</v>
      </c>
      <c r="Z53" s="78">
        <f t="shared" si="28"/>
        <v>0</v>
      </c>
      <c r="AA53" s="78">
        <f t="shared" si="28"/>
        <v>0</v>
      </c>
      <c r="AB53" s="78">
        <f t="shared" si="28"/>
        <v>0</v>
      </c>
      <c r="AC53" s="78">
        <f t="shared" si="28"/>
        <v>0</v>
      </c>
      <c r="AD53" s="78">
        <f t="shared" si="28"/>
        <v>0</v>
      </c>
      <c r="AE53" s="78">
        <f t="shared" si="28"/>
        <v>0</v>
      </c>
      <c r="AF53" s="78">
        <f t="shared" si="28"/>
        <v>0</v>
      </c>
      <c r="AG53" s="78">
        <f t="shared" si="28"/>
        <v>0</v>
      </c>
      <c r="AH53" s="78">
        <f t="shared" si="28"/>
        <v>0</v>
      </c>
      <c r="AI53" s="78">
        <f t="shared" si="28"/>
        <v>0</v>
      </c>
      <c r="AJ53" s="78">
        <f t="shared" si="28"/>
        <v>0</v>
      </c>
      <c r="AK53" s="78">
        <f t="shared" si="28"/>
        <v>0</v>
      </c>
      <c r="AL53" s="78">
        <f t="shared" si="28"/>
        <v>0</v>
      </c>
      <c r="AM53" s="78">
        <f t="shared" si="28"/>
        <v>0</v>
      </c>
      <c r="AN53" s="78">
        <f t="shared" si="28"/>
        <v>0</v>
      </c>
      <c r="AO53" s="78">
        <f t="shared" si="28"/>
        <v>0</v>
      </c>
      <c r="AP53" s="78">
        <f t="shared" si="28"/>
        <v>0</v>
      </c>
      <c r="AQ53" s="78">
        <f t="shared" si="28"/>
        <v>0</v>
      </c>
      <c r="AR53" s="78">
        <f t="shared" si="28"/>
        <v>0</v>
      </c>
      <c r="AS53" s="78">
        <f t="shared" si="28"/>
        <v>0</v>
      </c>
      <c r="AT53" s="78">
        <f t="shared" si="28"/>
        <v>0</v>
      </c>
      <c r="AU53" s="78">
        <f t="shared" si="28"/>
        <v>0</v>
      </c>
      <c r="AV53" s="78">
        <f t="shared" si="28"/>
        <v>0</v>
      </c>
      <c r="AW53" s="78">
        <f t="shared" si="28"/>
        <v>0</v>
      </c>
      <c r="AX53" s="78">
        <f t="shared" si="28"/>
        <v>0</v>
      </c>
      <c r="AY53" s="78">
        <f t="shared" si="28"/>
        <v>0</v>
      </c>
      <c r="AZ53" s="78">
        <f t="shared" si="28"/>
        <v>0</v>
      </c>
      <c r="BA53" s="78">
        <f t="shared" si="28"/>
        <v>0</v>
      </c>
      <c r="BB53" s="78">
        <f t="shared" si="28"/>
        <v>0</v>
      </c>
      <c r="BC53" s="76"/>
    </row>
    <row r="54" spans="1:55" ht="14.25" customHeight="1">
      <c r="A54" s="113"/>
      <c r="E54" s="93"/>
      <c r="H54" s="93"/>
      <c r="I54" s="248" t="s">
        <v>51</v>
      </c>
      <c r="J54" s="81">
        <f t="shared" ref="J54:BB54" si="29">COUNTIFS($E$5:$E$14,$E53,J$5:J$14,"Censored")</f>
        <v>0</v>
      </c>
      <c r="K54" s="81">
        <f t="shared" si="29"/>
        <v>0</v>
      </c>
      <c r="L54" s="81">
        <f t="shared" si="29"/>
        <v>0</v>
      </c>
      <c r="M54" s="81">
        <f t="shared" si="29"/>
        <v>0</v>
      </c>
      <c r="N54" s="81">
        <f t="shared" si="29"/>
        <v>0</v>
      </c>
      <c r="O54" s="81">
        <f t="shared" si="29"/>
        <v>0</v>
      </c>
      <c r="P54" s="81">
        <f t="shared" si="29"/>
        <v>0</v>
      </c>
      <c r="Q54" s="81">
        <f t="shared" si="29"/>
        <v>0</v>
      </c>
      <c r="R54" s="81">
        <f t="shared" si="29"/>
        <v>0</v>
      </c>
      <c r="S54" s="81">
        <f t="shared" si="29"/>
        <v>0</v>
      </c>
      <c r="T54" s="81">
        <f t="shared" si="29"/>
        <v>0</v>
      </c>
      <c r="U54" s="81">
        <f t="shared" si="29"/>
        <v>0</v>
      </c>
      <c r="V54" s="81">
        <f t="shared" si="29"/>
        <v>0</v>
      </c>
      <c r="W54" s="81">
        <f t="shared" si="29"/>
        <v>0</v>
      </c>
      <c r="X54" s="81">
        <f t="shared" si="29"/>
        <v>0</v>
      </c>
      <c r="Y54" s="81">
        <f t="shared" si="29"/>
        <v>0</v>
      </c>
      <c r="Z54" s="81">
        <f t="shared" si="29"/>
        <v>0</v>
      </c>
      <c r="AA54" s="81">
        <f t="shared" si="29"/>
        <v>0</v>
      </c>
      <c r="AB54" s="81">
        <f t="shared" si="29"/>
        <v>0</v>
      </c>
      <c r="AC54" s="81">
        <f t="shared" si="29"/>
        <v>0</v>
      </c>
      <c r="AD54" s="81">
        <f t="shared" si="29"/>
        <v>0</v>
      </c>
      <c r="AE54" s="81">
        <f t="shared" si="29"/>
        <v>0</v>
      </c>
      <c r="AF54" s="81">
        <f t="shared" si="29"/>
        <v>0</v>
      </c>
      <c r="AG54" s="81">
        <f t="shared" si="29"/>
        <v>0</v>
      </c>
      <c r="AH54" s="81">
        <f t="shared" si="29"/>
        <v>0</v>
      </c>
      <c r="AI54" s="81">
        <f t="shared" si="29"/>
        <v>0</v>
      </c>
      <c r="AJ54" s="81">
        <f t="shared" si="29"/>
        <v>0</v>
      </c>
      <c r="AK54" s="81">
        <f t="shared" si="29"/>
        <v>0</v>
      </c>
      <c r="AL54" s="81">
        <f t="shared" si="29"/>
        <v>0</v>
      </c>
      <c r="AM54" s="81">
        <f t="shared" si="29"/>
        <v>0</v>
      </c>
      <c r="AN54" s="81">
        <f t="shared" si="29"/>
        <v>0</v>
      </c>
      <c r="AO54" s="81">
        <f t="shared" si="29"/>
        <v>0</v>
      </c>
      <c r="AP54" s="81">
        <f t="shared" si="29"/>
        <v>0</v>
      </c>
      <c r="AQ54" s="81">
        <f t="shared" si="29"/>
        <v>0</v>
      </c>
      <c r="AR54" s="81">
        <f t="shared" si="29"/>
        <v>0</v>
      </c>
      <c r="AS54" s="81">
        <f t="shared" si="29"/>
        <v>0</v>
      </c>
      <c r="AT54" s="81">
        <f t="shared" si="29"/>
        <v>0</v>
      </c>
      <c r="AU54" s="81">
        <f t="shared" si="29"/>
        <v>0</v>
      </c>
      <c r="AV54" s="81">
        <f t="shared" si="29"/>
        <v>0</v>
      </c>
      <c r="AW54" s="81">
        <f t="shared" si="29"/>
        <v>0</v>
      </c>
      <c r="AX54" s="81">
        <f t="shared" si="29"/>
        <v>0</v>
      </c>
      <c r="AY54" s="81">
        <f t="shared" si="29"/>
        <v>0</v>
      </c>
      <c r="AZ54" s="81">
        <f t="shared" si="29"/>
        <v>0</v>
      </c>
      <c r="BA54" s="81">
        <f t="shared" si="29"/>
        <v>0</v>
      </c>
      <c r="BB54" s="81">
        <f t="shared" si="29"/>
        <v>0</v>
      </c>
      <c r="BC54" s="76"/>
    </row>
    <row r="55" spans="1:55" ht="14.25" customHeight="1">
      <c r="E55" s="301"/>
      <c r="H55" s="93"/>
      <c r="I55" s="248" t="s">
        <v>53</v>
      </c>
      <c r="J55" s="74" t="e">
        <f>J53/(COUNTIFS($E$5:$E$14,$E53,J$5:J$14,"Alive")+COUNTIFS($E$5:$E$14,$E53,J$5:J$14,"Sacrificed")+COUNTIFS($E$5:$E$14,$E53,J$5:J$14,"Died"))</f>
        <v>#DIV/0!</v>
      </c>
      <c r="K55" s="74" t="e">
        <f t="shared" ref="K55:BB55" si="30">K53/(COUNTIFS($E$5:$E$14,$E53,K$5:K$14,"Alive")+COUNTIFS($E$5:$E$14,$E53,K$5:K$14,"Sacrificed")+COUNTIFS($E$5:$E$14,$E53,K$5:K$14,"Died"))*J55</f>
        <v>#DIV/0!</v>
      </c>
      <c r="L55" s="74" t="e">
        <f t="shared" si="30"/>
        <v>#DIV/0!</v>
      </c>
      <c r="M55" s="74" t="e">
        <f t="shared" si="30"/>
        <v>#DIV/0!</v>
      </c>
      <c r="N55" s="74" t="e">
        <f t="shared" si="30"/>
        <v>#DIV/0!</v>
      </c>
      <c r="O55" s="74" t="e">
        <f t="shared" si="30"/>
        <v>#DIV/0!</v>
      </c>
      <c r="P55" s="74" t="e">
        <f t="shared" si="30"/>
        <v>#DIV/0!</v>
      </c>
      <c r="Q55" s="74" t="e">
        <f t="shared" si="30"/>
        <v>#DIV/0!</v>
      </c>
      <c r="R55" s="74" t="e">
        <f t="shared" si="30"/>
        <v>#DIV/0!</v>
      </c>
      <c r="S55" s="74" t="e">
        <f t="shared" si="30"/>
        <v>#DIV/0!</v>
      </c>
      <c r="T55" s="74" t="e">
        <f t="shared" si="30"/>
        <v>#DIV/0!</v>
      </c>
      <c r="U55" s="74" t="e">
        <f t="shared" si="30"/>
        <v>#DIV/0!</v>
      </c>
      <c r="V55" s="74" t="e">
        <f t="shared" si="30"/>
        <v>#DIV/0!</v>
      </c>
      <c r="W55" s="74" t="e">
        <f t="shared" si="30"/>
        <v>#DIV/0!</v>
      </c>
      <c r="X55" s="74" t="e">
        <f t="shared" si="30"/>
        <v>#DIV/0!</v>
      </c>
      <c r="Y55" s="74" t="e">
        <f t="shared" si="30"/>
        <v>#DIV/0!</v>
      </c>
      <c r="Z55" s="74" t="e">
        <f t="shared" si="30"/>
        <v>#DIV/0!</v>
      </c>
      <c r="AA55" s="74" t="e">
        <f t="shared" si="30"/>
        <v>#DIV/0!</v>
      </c>
      <c r="AB55" s="74" t="e">
        <f t="shared" si="30"/>
        <v>#DIV/0!</v>
      </c>
      <c r="AC55" s="74" t="e">
        <f t="shared" si="30"/>
        <v>#DIV/0!</v>
      </c>
      <c r="AD55" s="74" t="e">
        <f t="shared" si="30"/>
        <v>#DIV/0!</v>
      </c>
      <c r="AE55" s="74" t="e">
        <f t="shared" si="30"/>
        <v>#DIV/0!</v>
      </c>
      <c r="AF55" s="74" t="e">
        <f t="shared" si="30"/>
        <v>#DIV/0!</v>
      </c>
      <c r="AG55" s="74" t="e">
        <f t="shared" si="30"/>
        <v>#DIV/0!</v>
      </c>
      <c r="AH55" s="74" t="e">
        <f t="shared" si="30"/>
        <v>#DIV/0!</v>
      </c>
      <c r="AI55" s="74" t="e">
        <f t="shared" si="30"/>
        <v>#DIV/0!</v>
      </c>
      <c r="AJ55" s="74" t="e">
        <f t="shared" si="30"/>
        <v>#DIV/0!</v>
      </c>
      <c r="AK55" s="74" t="e">
        <f t="shared" si="30"/>
        <v>#DIV/0!</v>
      </c>
      <c r="AL55" s="74" t="e">
        <f t="shared" si="30"/>
        <v>#DIV/0!</v>
      </c>
      <c r="AM55" s="74" t="e">
        <f t="shared" si="30"/>
        <v>#DIV/0!</v>
      </c>
      <c r="AN55" s="74" t="e">
        <f t="shared" si="30"/>
        <v>#DIV/0!</v>
      </c>
      <c r="AO55" s="74" t="e">
        <f t="shared" si="30"/>
        <v>#DIV/0!</v>
      </c>
      <c r="AP55" s="74" t="e">
        <f t="shared" si="30"/>
        <v>#DIV/0!</v>
      </c>
      <c r="AQ55" s="74" t="e">
        <f t="shared" si="30"/>
        <v>#DIV/0!</v>
      </c>
      <c r="AR55" s="74" t="e">
        <f t="shared" si="30"/>
        <v>#DIV/0!</v>
      </c>
      <c r="AS55" s="74" t="e">
        <f t="shared" si="30"/>
        <v>#DIV/0!</v>
      </c>
      <c r="AT55" s="74" t="e">
        <f t="shared" si="30"/>
        <v>#DIV/0!</v>
      </c>
      <c r="AU55" s="74" t="e">
        <f t="shared" si="30"/>
        <v>#DIV/0!</v>
      </c>
      <c r="AV55" s="74" t="e">
        <f t="shared" si="30"/>
        <v>#DIV/0!</v>
      </c>
      <c r="AW55" s="74" t="e">
        <f t="shared" si="30"/>
        <v>#DIV/0!</v>
      </c>
      <c r="AX55" s="74" t="e">
        <f t="shared" si="30"/>
        <v>#DIV/0!</v>
      </c>
      <c r="AY55" s="74" t="e">
        <f t="shared" si="30"/>
        <v>#DIV/0!</v>
      </c>
      <c r="AZ55" s="74" t="e">
        <f t="shared" si="30"/>
        <v>#DIV/0!</v>
      </c>
      <c r="BA55" s="74" t="e">
        <f t="shared" si="30"/>
        <v>#DIV/0!</v>
      </c>
      <c r="BB55" s="74" t="e">
        <f t="shared" si="30"/>
        <v>#DIV/0!</v>
      </c>
      <c r="BC55" s="3"/>
    </row>
  </sheetData>
  <autoFilter ref="A4:BB14" xr:uid="{00000000-0009-0000-0000-000003000000}">
    <sortState xmlns:xlrd2="http://schemas.microsoft.com/office/spreadsheetml/2017/richdata2" ref="A5:AQ54">
      <sortCondition ref="B4:B54"/>
    </sortState>
  </autoFilter>
  <mergeCells count="3">
    <mergeCell ref="F2:G2"/>
    <mergeCell ref="H17:H19"/>
    <mergeCell ref="A1:E1"/>
  </mergeCells>
  <dataValidations count="2">
    <dataValidation type="list" allowBlank="1" showInputMessage="1" showErrorMessage="1" sqref="J5:BB14" xr:uid="{8A961E69-621A-4559-A08A-BB202E7A03EB}">
      <formula1>"Alive,Sacrificed,Censored,Died"</formula1>
    </dataValidation>
    <dataValidation type="list" allowBlank="1" showInputMessage="1" showErrorMessage="1" sqref="E20:E1048576 E5:E14" xr:uid="{80E8E924-8F82-4939-AE3C-FD9B7E3C6B55}">
      <formula1>Groups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FIG6 Tumor Volume</vt:lpstr>
      <vt:lpstr>FIG6 Body Weight</vt:lpstr>
      <vt:lpstr>FIG6 Radioactivity</vt:lpstr>
      <vt:lpstr>FIG6 Survival</vt:lpstr>
      <vt:lpstr>FIG6 Groups</vt:lpstr>
      <vt:lpstr>AsPc1 REPEAT Tumor Volume</vt:lpstr>
      <vt:lpstr>AsPc1 REPEAT Body Weight</vt:lpstr>
      <vt:lpstr>AsPc1 REPEAT Radioactivity</vt:lpstr>
      <vt:lpstr>AsPc1 REPEAT Survival</vt:lpstr>
      <vt:lpstr>AsPc1 REPEAT Groups</vt:lpstr>
      <vt:lpstr>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Jeff Schaal</cp:lastModifiedBy>
  <cp:lastPrinted>2016-10-21T13:04:13Z</cp:lastPrinted>
  <dcterms:created xsi:type="dcterms:W3CDTF">2013-01-08T23:27:33Z</dcterms:created>
  <dcterms:modified xsi:type="dcterms:W3CDTF">2022-07-12T01:00:02Z</dcterms:modified>
</cp:coreProperties>
</file>