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sch\OneDrive\Desktop\"/>
    </mc:Choice>
  </mc:AlternateContent>
  <xr:revisionPtr revIDLastSave="0" documentId="13_ncr:1_{CBF721AC-9F75-49A6-A80B-7345E4F7BD65}" xr6:coauthVersionLast="47" xr6:coauthVersionMax="47" xr10:uidLastSave="{00000000-0000-0000-0000-000000000000}"/>
  <bookViews>
    <workbookView xWindow="35625" yWindow="930" windowWidth="20670" windowHeight="14235" tabRatio="812" firstSheet="1" activeTab="6" xr2:uid="{00000000-000D-0000-FFFF-FFFF00000000}"/>
  </bookViews>
  <sheets>
    <sheet name="Tissue Mass" sheetId="1" r:id="rId1"/>
    <sheet name="Raw Gamma CPM" sheetId="4" r:id="rId2"/>
    <sheet name="Decay Corrected %ID" sheetId="6" r:id="rId3"/>
    <sheet name="%ID per g (Decay Corrected )" sheetId="9" r:id="rId4"/>
    <sheet name="uCi per g Tissue" sheetId="7" r:id="rId5"/>
    <sheet name="Standards" sheetId="5" r:id="rId6"/>
    <sheet name="MIRD Tissue Dosimetry" sheetId="10" r:id="rId7"/>
  </sheets>
  <externalReferences>
    <externalReference r:id="rId8"/>
  </externalReferences>
  <definedNames>
    <definedName name="_xlnm._FilterDatabase" localSheetId="3" hidden="1">'%ID per g (Decay Corrected )'!$B$4:$AB$25</definedName>
    <definedName name="_xlnm._FilterDatabase" localSheetId="2" hidden="1">'Decay Corrected %ID'!$B$4:$AB$25</definedName>
    <definedName name="_xlnm._FilterDatabase" localSheetId="1" hidden="1">'Raw Gamma CPM'!$B$4:$AB$25</definedName>
    <definedName name="_xlnm._FilterDatabase" localSheetId="5" hidden="1">Standards!$B$3:$I$20</definedName>
    <definedName name="_xlnm._FilterDatabase" localSheetId="0" hidden="1">'Tissue Mass'!$B$4:$AB$25</definedName>
    <definedName name="_xlnm._FilterDatabase" localSheetId="4" hidden="1">'uCi per g Tissue'!$B$4:$AB$25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U49" i="10" l="1"/>
  <c r="CM49" i="10"/>
  <c r="CD49" i="10"/>
  <c r="BV49" i="10"/>
  <c r="BM49" i="10"/>
  <c r="BE49" i="10"/>
  <c r="AV49" i="10"/>
  <c r="AN49" i="10"/>
  <c r="AE49" i="10"/>
  <c r="W49" i="10"/>
  <c r="N49" i="10"/>
  <c r="F49" i="10"/>
  <c r="CO42" i="10"/>
  <c r="CU41" i="10"/>
  <c r="CW41" i="10" s="1"/>
  <c r="CM41" i="10"/>
  <c r="CE41" i="10"/>
  <c r="CD41" i="10"/>
  <c r="BW41" i="10"/>
  <c r="BV41" i="10"/>
  <c r="BX41" i="10" s="1"/>
  <c r="BN41" i="10"/>
  <c r="BM41" i="10"/>
  <c r="BG41" i="10"/>
  <c r="BF41" i="10"/>
  <c r="BE41" i="10"/>
  <c r="AX41" i="10"/>
  <c r="AW41" i="10"/>
  <c r="AV41" i="10"/>
  <c r="AN41" i="10"/>
  <c r="AE41" i="10"/>
  <c r="AG41" i="10" s="1"/>
  <c r="W41" i="10"/>
  <c r="O41" i="10"/>
  <c r="N41" i="10"/>
  <c r="G41" i="10"/>
  <c r="F41" i="10"/>
  <c r="H41" i="10" s="1"/>
  <c r="CR38" i="10"/>
  <c r="CJ38" i="10"/>
  <c r="CA38" i="10"/>
  <c r="BS38" i="10"/>
  <c r="BJ38" i="10"/>
  <c r="BB38" i="10"/>
  <c r="AS38" i="10"/>
  <c r="AK38" i="10"/>
  <c r="AB38" i="10"/>
  <c r="T38" i="10"/>
  <c r="K38" i="10"/>
  <c r="C38" i="10"/>
  <c r="CW35" i="10"/>
  <c r="CO35" i="10"/>
  <c r="CF35" i="10"/>
  <c r="BX35" i="10"/>
  <c r="BO35" i="10"/>
  <c r="BG35" i="10"/>
  <c r="AX35" i="10"/>
  <c r="AP35" i="10"/>
  <c r="AG35" i="10"/>
  <c r="Y35" i="10"/>
  <c r="P35" i="10"/>
  <c r="H35" i="10"/>
  <c r="CW34" i="10"/>
  <c r="CO34" i="10"/>
  <c r="CF34" i="10"/>
  <c r="BX34" i="10"/>
  <c r="BO34" i="10"/>
  <c r="BG34" i="10"/>
  <c r="AX34" i="10"/>
  <c r="AP34" i="10"/>
  <c r="AG34" i="10"/>
  <c r="Y34" i="10"/>
  <c r="P34" i="10"/>
  <c r="H34" i="10"/>
  <c r="BK33" i="10"/>
  <c r="BS32" i="10"/>
  <c r="BX32" i="10" s="1"/>
  <c r="CB31" i="10"/>
  <c r="BK31" i="10"/>
  <c r="AV31" i="10"/>
  <c r="AK31" i="10"/>
  <c r="CJ30" i="10"/>
  <c r="CO30" i="10" s="1"/>
  <c r="CD30" i="10"/>
  <c r="BU30" i="10"/>
  <c r="AC30" i="10"/>
  <c r="CW29" i="10"/>
  <c r="CO29" i="10"/>
  <c r="CF29" i="10"/>
  <c r="BX29" i="10"/>
  <c r="BO29" i="10"/>
  <c r="BG29" i="10"/>
  <c r="AX29" i="10"/>
  <c r="AP29" i="10"/>
  <c r="AG29" i="10"/>
  <c r="Y29" i="10"/>
  <c r="P29" i="10"/>
  <c r="H29" i="10"/>
  <c r="CO24" i="10"/>
  <c r="BX24" i="10"/>
  <c r="BG24" i="10"/>
  <c r="AP24" i="10"/>
  <c r="Y24" i="10"/>
  <c r="H24" i="10"/>
  <c r="CO23" i="10"/>
  <c r="BX23" i="10"/>
  <c r="BG23" i="10"/>
  <c r="AP23" i="10"/>
  <c r="Y23" i="10"/>
  <c r="H23" i="10"/>
  <c r="CW22" i="10"/>
  <c r="CU22" i="10"/>
  <c r="CU33" i="10" s="1"/>
  <c r="CT22" i="10"/>
  <c r="CT33" i="10" s="1"/>
  <c r="CS22" i="10"/>
  <c r="CS33" i="10" s="1"/>
  <c r="CR22" i="10"/>
  <c r="CR33" i="10" s="1"/>
  <c r="CW33" i="10" s="1"/>
  <c r="CM22" i="10"/>
  <c r="CM33" i="10" s="1"/>
  <c r="CL22" i="10"/>
  <c r="CO22" i="10" s="1"/>
  <c r="CK22" i="10"/>
  <c r="CK33" i="10" s="1"/>
  <c r="CJ22" i="10"/>
  <c r="CJ33" i="10" s="1"/>
  <c r="CD22" i="10"/>
  <c r="CD33" i="10" s="1"/>
  <c r="CC22" i="10"/>
  <c r="CC33" i="10" s="1"/>
  <c r="CB22" i="10"/>
  <c r="CB33" i="10" s="1"/>
  <c r="CA22" i="10"/>
  <c r="BX22" i="10"/>
  <c r="BV22" i="10"/>
  <c r="BV33" i="10" s="1"/>
  <c r="BU22" i="10"/>
  <c r="BU33" i="10" s="1"/>
  <c r="BT22" i="10"/>
  <c r="BT33" i="10" s="1"/>
  <c r="BS22" i="10"/>
  <c r="BS33" i="10" s="1"/>
  <c r="BX33" i="10" s="1"/>
  <c r="BM22" i="10"/>
  <c r="BM33" i="10" s="1"/>
  <c r="BL22" i="10"/>
  <c r="BL33" i="10" s="1"/>
  <c r="BK22" i="10"/>
  <c r="BJ22" i="10"/>
  <c r="BJ33" i="10" s="1"/>
  <c r="BE22" i="10"/>
  <c r="BE33" i="10" s="1"/>
  <c r="BD22" i="10"/>
  <c r="BD33" i="10" s="1"/>
  <c r="BC22" i="10"/>
  <c r="BC33" i="10" s="1"/>
  <c r="BB22" i="10"/>
  <c r="AV22" i="10"/>
  <c r="AV33" i="10" s="1"/>
  <c r="AU22" i="10"/>
  <c r="AU33" i="10" s="1"/>
  <c r="AT22" i="10"/>
  <c r="AT33" i="10" s="1"/>
  <c r="AS22" i="10"/>
  <c r="AS33" i="10" s="1"/>
  <c r="AN22" i="10"/>
  <c r="AN33" i="10" s="1"/>
  <c r="AM22" i="10"/>
  <c r="AM33" i="10" s="1"/>
  <c r="AL22" i="10"/>
  <c r="AL33" i="10" s="1"/>
  <c r="AK22" i="10"/>
  <c r="AP22" i="10" s="1"/>
  <c r="AG22" i="10"/>
  <c r="AE45" i="10" s="1"/>
  <c r="AE22" i="10"/>
  <c r="AE33" i="10" s="1"/>
  <c r="AD22" i="10"/>
  <c r="AD33" i="10" s="1"/>
  <c r="AC22" i="10"/>
  <c r="AC33" i="10" s="1"/>
  <c r="AB22" i="10"/>
  <c r="AB33" i="10" s="1"/>
  <c r="W22" i="10"/>
  <c r="W33" i="10" s="1"/>
  <c r="V22" i="10"/>
  <c r="V33" i="10" s="1"/>
  <c r="U22" i="10"/>
  <c r="U33" i="10" s="1"/>
  <c r="T22" i="10"/>
  <c r="T33" i="10" s="1"/>
  <c r="N22" i="10"/>
  <c r="N33" i="10" s="1"/>
  <c r="M22" i="10"/>
  <c r="M33" i="10" s="1"/>
  <c r="L22" i="10"/>
  <c r="L33" i="10" s="1"/>
  <c r="K22" i="10"/>
  <c r="H22" i="10"/>
  <c r="F22" i="10"/>
  <c r="F33" i="10" s="1"/>
  <c r="E22" i="10"/>
  <c r="E33" i="10" s="1"/>
  <c r="D22" i="10"/>
  <c r="D33" i="10" s="1"/>
  <c r="H33" i="10" s="1"/>
  <c r="C22" i="10"/>
  <c r="C33" i="10" s="1"/>
  <c r="CS21" i="10"/>
  <c r="CS32" i="10" s="1"/>
  <c r="CR21" i="10"/>
  <c r="CW21" i="10" s="1"/>
  <c r="CU44" i="10" s="1"/>
  <c r="CO21" i="10"/>
  <c r="CK21" i="10"/>
  <c r="CK32" i="10" s="1"/>
  <c r="CJ21" i="10"/>
  <c r="CJ32" i="10" s="1"/>
  <c r="CO32" i="10" s="1"/>
  <c r="CB21" i="10"/>
  <c r="CB32" i="10" s="1"/>
  <c r="CA21" i="10"/>
  <c r="CF21" i="10" s="1"/>
  <c r="BT21" i="10"/>
  <c r="BT32" i="10" s="1"/>
  <c r="BS21" i="10"/>
  <c r="BX21" i="10" s="1"/>
  <c r="BV44" i="10" s="1"/>
  <c r="BO21" i="10"/>
  <c r="BK21" i="10"/>
  <c r="BK32" i="10" s="1"/>
  <c r="BJ21" i="10"/>
  <c r="BJ32" i="10" s="1"/>
  <c r="BO32" i="10" s="1"/>
  <c r="BC21" i="10"/>
  <c r="BC32" i="10" s="1"/>
  <c r="BB21" i="10"/>
  <c r="BG21" i="10" s="1"/>
  <c r="BE44" i="10" s="1"/>
  <c r="AT21" i="10"/>
  <c r="AT32" i="10" s="1"/>
  <c r="AS21" i="10"/>
  <c r="AS32" i="10" s="1"/>
  <c r="AL21" i="10"/>
  <c r="AL32" i="10" s="1"/>
  <c r="AK21" i="10"/>
  <c r="AP21" i="10" s="1"/>
  <c r="AC21" i="10"/>
  <c r="AC32" i="10" s="1"/>
  <c r="AB21" i="10"/>
  <c r="AG21" i="10" s="1"/>
  <c r="AE44" i="10" s="1"/>
  <c r="Y21" i="10"/>
  <c r="U21" i="10"/>
  <c r="U32" i="10" s="1"/>
  <c r="Y32" i="10" s="1"/>
  <c r="T21" i="10"/>
  <c r="T32" i="10" s="1"/>
  <c r="L21" i="10"/>
  <c r="L32" i="10" s="1"/>
  <c r="K21" i="10"/>
  <c r="P21" i="10" s="1"/>
  <c r="D21" i="10"/>
  <c r="D32" i="10" s="1"/>
  <c r="C21" i="10"/>
  <c r="H21" i="10" s="1"/>
  <c r="F44" i="10" s="1"/>
  <c r="CW20" i="10"/>
  <c r="CU20" i="10"/>
  <c r="CU31" i="10" s="1"/>
  <c r="CT20" i="10"/>
  <c r="CT31" i="10" s="1"/>
  <c r="CS20" i="10"/>
  <c r="CS31" i="10" s="1"/>
  <c r="CR20" i="10"/>
  <c r="CR31" i="10" s="1"/>
  <c r="CM20" i="10"/>
  <c r="CM31" i="10" s="1"/>
  <c r="CL20" i="10"/>
  <c r="CL31" i="10" s="1"/>
  <c r="CK20" i="10"/>
  <c r="CK31" i="10" s="1"/>
  <c r="CJ20" i="10"/>
  <c r="CJ31" i="10" s="1"/>
  <c r="CD20" i="10"/>
  <c r="CD31" i="10" s="1"/>
  <c r="CC20" i="10"/>
  <c r="CC31" i="10" s="1"/>
  <c r="CB20" i="10"/>
  <c r="CA20" i="10"/>
  <c r="BX20" i="10"/>
  <c r="BV20" i="10"/>
  <c r="BV31" i="10" s="1"/>
  <c r="BU20" i="10"/>
  <c r="BU31" i="10" s="1"/>
  <c r="BT20" i="10"/>
  <c r="BT31" i="10" s="1"/>
  <c r="BS20" i="10"/>
  <c r="BS31" i="10" s="1"/>
  <c r="BX31" i="10" s="1"/>
  <c r="BM20" i="10"/>
  <c r="BM31" i="10" s="1"/>
  <c r="BL20" i="10"/>
  <c r="BL31" i="10" s="1"/>
  <c r="BK20" i="10"/>
  <c r="BJ20" i="10"/>
  <c r="BJ31" i="10" s="1"/>
  <c r="BE20" i="10"/>
  <c r="BE31" i="10" s="1"/>
  <c r="BD20" i="10"/>
  <c r="BD31" i="10" s="1"/>
  <c r="BC20" i="10"/>
  <c r="BC31" i="10" s="1"/>
  <c r="BB20" i="10"/>
  <c r="BG20" i="10" s="1"/>
  <c r="AV20" i="10"/>
  <c r="AU20" i="10"/>
  <c r="AU31" i="10" s="1"/>
  <c r="AT20" i="10"/>
  <c r="AT31" i="10" s="1"/>
  <c r="AS20" i="10"/>
  <c r="AS31" i="10" s="1"/>
  <c r="AX31" i="10" s="1"/>
  <c r="AN20" i="10"/>
  <c r="AN31" i="10" s="1"/>
  <c r="AM20" i="10"/>
  <c r="AM31" i="10" s="1"/>
  <c r="AL20" i="10"/>
  <c r="AL31" i="10" s="1"/>
  <c r="AK20" i="10"/>
  <c r="AG20" i="10"/>
  <c r="AE20" i="10"/>
  <c r="AE31" i="10" s="1"/>
  <c r="AD20" i="10"/>
  <c r="AD31" i="10" s="1"/>
  <c r="AC20" i="10"/>
  <c r="AC31" i="10" s="1"/>
  <c r="AB20" i="10"/>
  <c r="AB31" i="10" s="1"/>
  <c r="AG31" i="10" s="1"/>
  <c r="Y20" i="10"/>
  <c r="W43" i="10" s="1"/>
  <c r="W20" i="10"/>
  <c r="W31" i="10" s="1"/>
  <c r="V20" i="10"/>
  <c r="V31" i="10" s="1"/>
  <c r="Y31" i="10" s="1"/>
  <c r="U20" i="10"/>
  <c r="U31" i="10" s="1"/>
  <c r="T20" i="10"/>
  <c r="T31" i="10" s="1"/>
  <c r="N20" i="10"/>
  <c r="N31" i="10" s="1"/>
  <c r="M20" i="10"/>
  <c r="M31" i="10" s="1"/>
  <c r="L20" i="10"/>
  <c r="L31" i="10" s="1"/>
  <c r="K20" i="10"/>
  <c r="P20" i="10" s="1"/>
  <c r="H20" i="10"/>
  <c r="F43" i="10" s="1"/>
  <c r="F20" i="10"/>
  <c r="F31" i="10" s="1"/>
  <c r="E20" i="10"/>
  <c r="E31" i="10" s="1"/>
  <c r="D20" i="10"/>
  <c r="D31" i="10" s="1"/>
  <c r="H31" i="10" s="1"/>
  <c r="C20" i="10"/>
  <c r="C31" i="10" s="1"/>
  <c r="CU19" i="10"/>
  <c r="CU30" i="10" s="1"/>
  <c r="CT19" i="10"/>
  <c r="CT30" i="10" s="1"/>
  <c r="CS19" i="10"/>
  <c r="CS30" i="10" s="1"/>
  <c r="CR19" i="10"/>
  <c r="CR30" i="10" s="1"/>
  <c r="CM19" i="10"/>
  <c r="CM30" i="10" s="1"/>
  <c r="CL19" i="10"/>
  <c r="CL30" i="10" s="1"/>
  <c r="CK19" i="10"/>
  <c r="CK30" i="10" s="1"/>
  <c r="CJ19" i="10"/>
  <c r="CO19" i="10" s="1"/>
  <c r="CM42" i="10" s="1"/>
  <c r="CN42" i="10" s="1"/>
  <c r="CD19" i="10"/>
  <c r="CC19" i="10"/>
  <c r="CC30" i="10" s="1"/>
  <c r="CB19" i="10"/>
  <c r="CB30" i="10" s="1"/>
  <c r="CA19" i="10"/>
  <c r="CA30" i="10" s="1"/>
  <c r="CF30" i="10" s="1"/>
  <c r="BV19" i="10"/>
  <c r="BV30" i="10" s="1"/>
  <c r="BU19" i="10"/>
  <c r="BT19" i="10"/>
  <c r="BT30" i="10" s="1"/>
  <c r="BS19" i="10"/>
  <c r="BM19" i="10"/>
  <c r="BM30" i="10" s="1"/>
  <c r="BL19" i="10"/>
  <c r="BL30" i="10" s="1"/>
  <c r="BK19" i="10"/>
  <c r="BO19" i="10" s="1"/>
  <c r="BM42" i="10" s="1"/>
  <c r="BJ19" i="10"/>
  <c r="BJ30" i="10" s="1"/>
  <c r="BE19" i="10"/>
  <c r="BE30" i="10" s="1"/>
  <c r="BD19" i="10"/>
  <c r="BG19" i="10" s="1"/>
  <c r="BE42" i="10" s="1"/>
  <c r="BC19" i="10"/>
  <c r="BC30" i="10" s="1"/>
  <c r="BB19" i="10"/>
  <c r="BB30" i="10" s="1"/>
  <c r="AV19" i="10"/>
  <c r="AV30" i="10" s="1"/>
  <c r="AU19" i="10"/>
  <c r="AU30" i="10" s="1"/>
  <c r="AT19" i="10"/>
  <c r="AT30" i="10" s="1"/>
  <c r="AS19" i="10"/>
  <c r="AP19" i="10"/>
  <c r="AN19" i="10"/>
  <c r="AN30" i="10" s="1"/>
  <c r="AM19" i="10"/>
  <c r="AM30" i="10" s="1"/>
  <c r="AL19" i="10"/>
  <c r="AL30" i="10" s="1"/>
  <c r="AK19" i="10"/>
  <c r="AK30" i="10" s="1"/>
  <c r="AP30" i="10" s="1"/>
  <c r="AE19" i="10"/>
  <c r="AE30" i="10" s="1"/>
  <c r="AD19" i="10"/>
  <c r="AD30" i="10" s="1"/>
  <c r="AC19" i="10"/>
  <c r="AB19" i="10"/>
  <c r="AB30" i="10" s="1"/>
  <c r="W19" i="10"/>
  <c r="W30" i="10" s="1"/>
  <c r="V19" i="10"/>
  <c r="V30" i="10" s="1"/>
  <c r="U19" i="10"/>
  <c r="U30" i="10" s="1"/>
  <c r="T19" i="10"/>
  <c r="Y19" i="10" s="1"/>
  <c r="W42" i="10" s="1"/>
  <c r="X42" i="10" s="1"/>
  <c r="N19" i="10"/>
  <c r="N30" i="10" s="1"/>
  <c r="M19" i="10"/>
  <c r="M30" i="10" s="1"/>
  <c r="L19" i="10"/>
  <c r="L30" i="10" s="1"/>
  <c r="K19" i="10"/>
  <c r="K30" i="10" s="1"/>
  <c r="F19" i="10"/>
  <c r="F30" i="10" s="1"/>
  <c r="E19" i="10"/>
  <c r="E30" i="10" s="1"/>
  <c r="D19" i="10"/>
  <c r="D30" i="10" s="1"/>
  <c r="C19" i="10"/>
  <c r="H19" i="10" s="1"/>
  <c r="F42" i="10" s="1"/>
  <c r="CW18" i="10"/>
  <c r="CO18" i="10"/>
  <c r="CF18" i="10"/>
  <c r="BX18" i="10"/>
  <c r="BO18" i="10"/>
  <c r="BG18" i="10"/>
  <c r="AX18" i="10"/>
  <c r="AP18" i="10"/>
  <c r="AG18" i="10"/>
  <c r="Y18" i="10"/>
  <c r="P18" i="10"/>
  <c r="H18" i="10"/>
  <c r="CW11" i="10"/>
  <c r="CO11" i="10"/>
  <c r="CF11" i="10"/>
  <c r="BX11" i="10"/>
  <c r="BO11" i="10"/>
  <c r="BG11" i="10"/>
  <c r="AX11" i="10"/>
  <c r="AP11" i="10"/>
  <c r="AG11" i="10"/>
  <c r="Y11" i="10"/>
  <c r="P11" i="10"/>
  <c r="H11" i="10"/>
  <c r="CW10" i="10"/>
  <c r="CO10" i="10"/>
  <c r="CF10" i="10"/>
  <c r="BX10" i="10"/>
  <c r="BO10" i="10"/>
  <c r="BG10" i="10"/>
  <c r="AX10" i="10"/>
  <c r="AP10" i="10"/>
  <c r="AG10" i="10"/>
  <c r="Y10" i="10"/>
  <c r="P10" i="10"/>
  <c r="H10" i="10"/>
  <c r="CW9" i="10"/>
  <c r="CO9" i="10"/>
  <c r="CF9" i="10"/>
  <c r="BX9" i="10"/>
  <c r="BO9" i="10"/>
  <c r="BG9" i="10"/>
  <c r="AX9" i="10"/>
  <c r="AP9" i="10"/>
  <c r="AG9" i="10"/>
  <c r="Y9" i="10"/>
  <c r="P9" i="10"/>
  <c r="H9" i="10"/>
  <c r="CW8" i="10"/>
  <c r="CO8" i="10"/>
  <c r="CF8" i="10"/>
  <c r="BX8" i="10"/>
  <c r="BO8" i="10"/>
  <c r="BG8" i="10"/>
  <c r="AX8" i="10"/>
  <c r="AP8" i="10"/>
  <c r="AG8" i="10"/>
  <c r="Y8" i="10"/>
  <c r="P8" i="10"/>
  <c r="H8" i="10"/>
  <c r="BG42" i="10" l="1"/>
  <c r="BF42" i="10"/>
  <c r="CO31" i="10"/>
  <c r="H44" i="10"/>
  <c r="G44" i="10"/>
  <c r="CM46" i="10"/>
  <c r="CM45" i="10"/>
  <c r="BX44" i="10"/>
  <c r="BW44" i="10"/>
  <c r="H42" i="10"/>
  <c r="G42" i="10"/>
  <c r="BG30" i="10"/>
  <c r="Y33" i="10"/>
  <c r="BG22" i="10"/>
  <c r="BB33" i="10"/>
  <c r="BG33" i="10" s="1"/>
  <c r="BO31" i="10"/>
  <c r="BV43" i="10"/>
  <c r="F45" i="10"/>
  <c r="F46" i="10"/>
  <c r="CO33" i="10"/>
  <c r="C32" i="10"/>
  <c r="H32" i="10" s="1"/>
  <c r="BX19" i="10"/>
  <c r="BV42" i="10" s="1"/>
  <c r="CF20" i="10"/>
  <c r="CO20" i="10"/>
  <c r="CM43" i="10" s="1"/>
  <c r="AN44" i="10"/>
  <c r="CM44" i="10"/>
  <c r="P22" i="10"/>
  <c r="Y22" i="10"/>
  <c r="CU45" i="10"/>
  <c r="BB31" i="10"/>
  <c r="BG31" i="10" s="1"/>
  <c r="AN46" i="10"/>
  <c r="AN45" i="10"/>
  <c r="N44" i="10"/>
  <c r="BD30" i="10"/>
  <c r="AG30" i="10"/>
  <c r="AN42" i="10"/>
  <c r="AE43" i="10"/>
  <c r="AX32" i="10"/>
  <c r="AX33" i="10"/>
  <c r="BO33" i="10"/>
  <c r="BV45" i="10"/>
  <c r="BV46" i="10"/>
  <c r="CL33" i="10"/>
  <c r="CM51" i="10"/>
  <c r="Y43" i="10"/>
  <c r="X43" i="10"/>
  <c r="AF44" i="10"/>
  <c r="AG44" i="10"/>
  <c r="CW31" i="10"/>
  <c r="CV44" i="10"/>
  <c r="CW44" i="10"/>
  <c r="AG33" i="10"/>
  <c r="C30" i="10"/>
  <c r="H30" i="10" s="1"/>
  <c r="P30" i="10"/>
  <c r="AX19" i="10"/>
  <c r="AV42" i="10" s="1"/>
  <c r="AP20" i="10"/>
  <c r="AN43" i="10" s="1"/>
  <c r="BE43" i="10"/>
  <c r="CF22" i="10"/>
  <c r="BS30" i="10"/>
  <c r="BX30" i="10" s="1"/>
  <c r="H43" i="10"/>
  <c r="G43" i="10"/>
  <c r="BG44" i="10"/>
  <c r="BF44" i="10"/>
  <c r="CD44" i="10"/>
  <c r="T30" i="10"/>
  <c r="Y30" i="10" s="1"/>
  <c r="BB32" i="10"/>
  <c r="BG32" i="10" s="1"/>
  <c r="BO42" i="10"/>
  <c r="BN42" i="10"/>
  <c r="W44" i="10"/>
  <c r="AG45" i="10"/>
  <c r="AF45" i="10"/>
  <c r="AP31" i="10"/>
  <c r="AK33" i="10"/>
  <c r="AP33" i="10" s="1"/>
  <c r="AP41" i="10"/>
  <c r="AO41" i="10"/>
  <c r="AN52" i="10"/>
  <c r="Y42" i="10"/>
  <c r="CW30" i="10"/>
  <c r="P19" i="10"/>
  <c r="N42" i="10" s="1"/>
  <c r="CF19" i="10"/>
  <c r="CD42" i="10" s="1"/>
  <c r="AX20" i="10"/>
  <c r="AV43" i="10" s="1"/>
  <c r="AX21" i="10"/>
  <c r="AX22" i="10"/>
  <c r="AS30" i="10"/>
  <c r="AX30" i="10" s="1"/>
  <c r="K31" i="10"/>
  <c r="P31" i="10" s="1"/>
  <c r="CA31" i="10"/>
  <c r="CF31" i="10" s="1"/>
  <c r="AB32" i="10"/>
  <c r="AG32" i="10" s="1"/>
  <c r="CR32" i="10"/>
  <c r="CW32" i="10" s="1"/>
  <c r="K33" i="10"/>
  <c r="P33" i="10" s="1"/>
  <c r="CA33" i="10"/>
  <c r="CF33" i="10" s="1"/>
  <c r="P41" i="10"/>
  <c r="CF41" i="10"/>
  <c r="AE46" i="10"/>
  <c r="CU46" i="10"/>
  <c r="AE51" i="10"/>
  <c r="AG19" i="10"/>
  <c r="AE42" i="10" s="1"/>
  <c r="CW19" i="10"/>
  <c r="CU42" i="10" s="1"/>
  <c r="BO20" i="10"/>
  <c r="BM43" i="10" s="1"/>
  <c r="BO22" i="10"/>
  <c r="K32" i="10"/>
  <c r="P32" i="10" s="1"/>
  <c r="CA32" i="10"/>
  <c r="CF32" i="10" s="1"/>
  <c r="X41" i="10"/>
  <c r="BO41" i="10"/>
  <c r="CN41" i="10"/>
  <c r="BK30" i="10"/>
  <c r="BO30" i="10" s="1"/>
  <c r="AK32" i="10"/>
  <c r="AP32" i="10" s="1"/>
  <c r="Y41" i="10"/>
  <c r="CO41" i="10"/>
  <c r="F52" i="10"/>
  <c r="BV52" i="10"/>
  <c r="CM52" i="10"/>
  <c r="AF41" i="10"/>
  <c r="CV41" i="10"/>
  <c r="CU51" i="10" l="1"/>
  <c r="X44" i="10"/>
  <c r="Y44" i="10"/>
  <c r="CW46" i="10"/>
  <c r="CV46" i="10"/>
  <c r="AX43" i="10"/>
  <c r="AW43" i="10"/>
  <c r="P42" i="10"/>
  <c r="O42" i="10"/>
  <c r="CU43" i="10"/>
  <c r="AF46" i="10"/>
  <c r="AG46" i="10"/>
  <c r="AV51" i="10"/>
  <c r="CD45" i="10"/>
  <c r="CD46" i="10"/>
  <c r="BX46" i="10"/>
  <c r="BW46" i="10"/>
  <c r="CW45" i="10"/>
  <c r="CV45" i="10"/>
  <c r="BX42" i="10"/>
  <c r="BW42" i="10"/>
  <c r="BV51" i="10"/>
  <c r="H45" i="10"/>
  <c r="G45" i="10"/>
  <c r="F51" i="10"/>
  <c r="BN43" i="10"/>
  <c r="BO43" i="10"/>
  <c r="AO51" i="10"/>
  <c r="AG43" i="10"/>
  <c r="AF43" i="10"/>
  <c r="AP44" i="10"/>
  <c r="AO44" i="10"/>
  <c r="N43" i="10"/>
  <c r="AF42" i="10"/>
  <c r="AF52" i="10" s="1"/>
  <c r="AG42" i="10"/>
  <c r="AN51" i="10"/>
  <c r="W51" i="10"/>
  <c r="AP42" i="10"/>
  <c r="AP51" i="10" s="1"/>
  <c r="AO42" i="10"/>
  <c r="AO52" i="10" s="1"/>
  <c r="CN46" i="10"/>
  <c r="CO46" i="10"/>
  <c r="H46" i="10"/>
  <c r="G46" i="10"/>
  <c r="CU52" i="10"/>
  <c r="AV46" i="10"/>
  <c r="AV45" i="10"/>
  <c r="BF43" i="10"/>
  <c r="BG43" i="10"/>
  <c r="BX45" i="10"/>
  <c r="BW45" i="10"/>
  <c r="P44" i="10"/>
  <c r="O44" i="10"/>
  <c r="W46" i="10"/>
  <c r="W45" i="10"/>
  <c r="BX43" i="10"/>
  <c r="BW43" i="10"/>
  <c r="BM46" i="10"/>
  <c r="BM45" i="10"/>
  <c r="CF42" i="10"/>
  <c r="CE42" i="10"/>
  <c r="CV42" i="10"/>
  <c r="CW42" i="10"/>
  <c r="CF44" i="10"/>
  <c r="CE44" i="10"/>
  <c r="CO45" i="10"/>
  <c r="CN45" i="10"/>
  <c r="CO43" i="10"/>
  <c r="CN43" i="10"/>
  <c r="CN52" i="10" s="1"/>
  <c r="CD43" i="10"/>
  <c r="CD52" i="10" s="1"/>
  <c r="AE52" i="10"/>
  <c r="AV44" i="10"/>
  <c r="AP43" i="10"/>
  <c r="AO43" i="10"/>
  <c r="AP45" i="10"/>
  <c r="AO45" i="10"/>
  <c r="N45" i="10"/>
  <c r="N46" i="10"/>
  <c r="AX42" i="10"/>
  <c r="AW42" i="10"/>
  <c r="AP46" i="10"/>
  <c r="AO46" i="10"/>
  <c r="CN44" i="10"/>
  <c r="CO44" i="10"/>
  <c r="CO52" i="10" s="1"/>
  <c r="BM44" i="10"/>
  <c r="BM51" i="10" s="1"/>
  <c r="BE46" i="10"/>
  <c r="BE45" i="10"/>
  <c r="X46" i="10" l="1"/>
  <c r="Y46" i="10"/>
  <c r="AG52" i="10"/>
  <c r="AG51" i="10"/>
  <c r="BX52" i="10"/>
  <c r="BX51" i="10"/>
  <c r="CO51" i="10"/>
  <c r="P46" i="10"/>
  <c r="O46" i="10"/>
  <c r="CN51" i="10"/>
  <c r="P43" i="10"/>
  <c r="O43" i="10"/>
  <c r="N51" i="10"/>
  <c r="AF51" i="10"/>
  <c r="BN45" i="10"/>
  <c r="BN51" i="10" s="1"/>
  <c r="BO45" i="10"/>
  <c r="BM52" i="10"/>
  <c r="CW43" i="10"/>
  <c r="CV43" i="10"/>
  <c r="CV51" i="10" s="1"/>
  <c r="CF43" i="10"/>
  <c r="CF51" i="10" s="1"/>
  <c r="CE43" i="10"/>
  <c r="CE51" i="10" s="1"/>
  <c r="CD51" i="10"/>
  <c r="AX46" i="10"/>
  <c r="AW46" i="10"/>
  <c r="P45" i="10"/>
  <c r="O45" i="10"/>
  <c r="BO46" i="10"/>
  <c r="BN46" i="10"/>
  <c r="G51" i="10"/>
  <c r="G52" i="10"/>
  <c r="O51" i="10"/>
  <c r="O52" i="10"/>
  <c r="BN52" i="10"/>
  <c r="BG51" i="10"/>
  <c r="N52" i="10"/>
  <c r="BO44" i="10"/>
  <c r="BN44" i="10"/>
  <c r="H51" i="10"/>
  <c r="H52" i="10"/>
  <c r="BF45" i="10"/>
  <c r="BF51" i="10" s="1"/>
  <c r="BG45" i="10"/>
  <c r="BG52" i="10" s="1"/>
  <c r="BE51" i="10"/>
  <c r="BE52" i="10"/>
  <c r="AX44" i="10"/>
  <c r="AX52" i="10" s="1"/>
  <c r="AW44" i="10"/>
  <c r="AW51" i="10" s="1"/>
  <c r="BF52" i="10"/>
  <c r="AP52" i="10"/>
  <c r="CF46" i="10"/>
  <c r="CE46" i="10"/>
  <c r="W52" i="10"/>
  <c r="BG46" i="10"/>
  <c r="BF46" i="10"/>
  <c r="AX51" i="10"/>
  <c r="CW52" i="10"/>
  <c r="CW51" i="10"/>
  <c r="Y45" i="10"/>
  <c r="X45" i="10"/>
  <c r="AX45" i="10"/>
  <c r="AW45" i="10"/>
  <c r="BW51" i="10"/>
  <c r="BW52" i="10"/>
  <c r="CF45" i="10"/>
  <c r="CF52" i="10" s="1"/>
  <c r="CE45" i="10"/>
  <c r="AV52" i="10"/>
  <c r="X51" i="10" l="1"/>
  <c r="X52" i="10"/>
  <c r="AW52" i="10"/>
  <c r="CV52" i="10"/>
  <c r="BO51" i="10"/>
  <c r="BO52" i="10"/>
  <c r="Y51" i="10"/>
  <c r="Y52" i="10"/>
  <c r="CE52" i="10"/>
  <c r="P51" i="10"/>
  <c r="P52" i="10"/>
  <c r="P43" i="6" l="1"/>
  <c r="P42" i="6"/>
  <c r="P41" i="6"/>
  <c r="P40" i="6"/>
  <c r="AC43" i="6"/>
  <c r="AB43" i="6"/>
  <c r="AA43" i="6"/>
  <c r="Z43" i="6"/>
  <c r="Y43" i="6"/>
  <c r="X43" i="6"/>
  <c r="V43" i="6"/>
  <c r="U43" i="6"/>
  <c r="T43" i="6"/>
  <c r="S43" i="6"/>
  <c r="R43" i="6"/>
  <c r="Q43" i="6"/>
  <c r="AC42" i="6"/>
  <c r="AB42" i="6"/>
  <c r="AA42" i="6"/>
  <c r="Z42" i="6"/>
  <c r="Y42" i="6"/>
  <c r="X42" i="6"/>
  <c r="V42" i="6"/>
  <c r="U42" i="6"/>
  <c r="T42" i="6"/>
  <c r="S42" i="6"/>
  <c r="R42" i="6"/>
  <c r="Q42" i="6"/>
  <c r="AC41" i="6"/>
  <c r="AB41" i="6"/>
  <c r="AA41" i="6"/>
  <c r="Z41" i="6"/>
  <c r="Y41" i="6"/>
  <c r="X41" i="6"/>
  <c r="V41" i="6"/>
  <c r="U41" i="6"/>
  <c r="T41" i="6"/>
  <c r="S41" i="6"/>
  <c r="R41" i="6"/>
  <c r="Q41" i="6"/>
  <c r="AC40" i="6"/>
  <c r="AB40" i="6"/>
  <c r="AA40" i="6"/>
  <c r="Z40" i="6"/>
  <c r="Y40" i="6"/>
  <c r="X40" i="6"/>
  <c r="V40" i="6"/>
  <c r="U40" i="6"/>
  <c r="T40" i="6"/>
  <c r="S40" i="6"/>
  <c r="R40" i="6"/>
  <c r="Q40" i="6"/>
  <c r="AC39" i="6"/>
  <c r="AB39" i="6"/>
  <c r="AA39" i="6"/>
  <c r="Z39" i="6"/>
  <c r="Y39" i="6"/>
  <c r="X39" i="6"/>
  <c r="V39" i="6"/>
  <c r="U39" i="6"/>
  <c r="T39" i="6"/>
  <c r="S39" i="6"/>
  <c r="R39" i="6"/>
  <c r="Q39" i="6"/>
  <c r="P39" i="6"/>
  <c r="P18" i="7"/>
  <c r="P6" i="7"/>
  <c r="Q6" i="7"/>
  <c r="R6" i="7"/>
  <c r="S6" i="7"/>
  <c r="T6" i="7"/>
  <c r="U6" i="7"/>
  <c r="V6" i="7"/>
  <c r="X6" i="7"/>
  <c r="Y6" i="7"/>
  <c r="Z6" i="7"/>
  <c r="AA6" i="7"/>
  <c r="AB6" i="7"/>
  <c r="P7" i="7"/>
  <c r="Q7" i="7"/>
  <c r="R7" i="7"/>
  <c r="S7" i="7"/>
  <c r="T7" i="7"/>
  <c r="U7" i="7"/>
  <c r="V7" i="7"/>
  <c r="X7" i="7"/>
  <c r="Y7" i="7"/>
  <c r="Z7" i="7"/>
  <c r="AA7" i="7"/>
  <c r="AB7" i="7"/>
  <c r="P8" i="7"/>
  <c r="Q8" i="7"/>
  <c r="R8" i="7"/>
  <c r="S8" i="7"/>
  <c r="T8" i="7"/>
  <c r="U8" i="7"/>
  <c r="V8" i="7"/>
  <c r="X8" i="7"/>
  <c r="Y8" i="7"/>
  <c r="Z8" i="7"/>
  <c r="AA8" i="7"/>
  <c r="AB8" i="7"/>
  <c r="P13" i="7"/>
  <c r="Q13" i="7"/>
  <c r="R13" i="7"/>
  <c r="S13" i="7"/>
  <c r="T13" i="7"/>
  <c r="U13" i="7"/>
  <c r="V13" i="7"/>
  <c r="X13" i="7"/>
  <c r="Y13" i="7"/>
  <c r="Z13" i="7"/>
  <c r="AA13" i="7"/>
  <c r="AB13" i="7"/>
  <c r="P17" i="7"/>
  <c r="Q17" i="7"/>
  <c r="R17" i="7"/>
  <c r="S17" i="7"/>
  <c r="T17" i="7"/>
  <c r="U17" i="7"/>
  <c r="V17" i="7"/>
  <c r="X17" i="7"/>
  <c r="Y17" i="7"/>
  <c r="Z17" i="7"/>
  <c r="AA17" i="7"/>
  <c r="AB17" i="7"/>
  <c r="P14" i="7"/>
  <c r="Q14" i="7"/>
  <c r="R14" i="7"/>
  <c r="S14" i="7"/>
  <c r="T14" i="7"/>
  <c r="U14" i="7"/>
  <c r="V14" i="7"/>
  <c r="X14" i="7"/>
  <c r="Y14" i="7"/>
  <c r="Z14" i="7"/>
  <c r="AA14" i="7"/>
  <c r="AB14" i="7"/>
  <c r="P15" i="7"/>
  <c r="Q15" i="7"/>
  <c r="R15" i="7"/>
  <c r="S15" i="7"/>
  <c r="T15" i="7"/>
  <c r="U15" i="7"/>
  <c r="V15" i="7"/>
  <c r="X15" i="7"/>
  <c r="Y15" i="7"/>
  <c r="Z15" i="7"/>
  <c r="AA15" i="7"/>
  <c r="AB15" i="7"/>
  <c r="P16" i="7"/>
  <c r="Q16" i="7"/>
  <c r="R16" i="7"/>
  <c r="S16" i="7"/>
  <c r="T16" i="7"/>
  <c r="U16" i="7"/>
  <c r="V16" i="7"/>
  <c r="X16" i="7"/>
  <c r="Y16" i="7"/>
  <c r="Z16" i="7"/>
  <c r="AA16" i="7"/>
  <c r="AB16" i="7"/>
  <c r="P20" i="7"/>
  <c r="Q20" i="7"/>
  <c r="R20" i="7"/>
  <c r="S20" i="7"/>
  <c r="T20" i="7"/>
  <c r="U20" i="7"/>
  <c r="V20" i="7"/>
  <c r="X20" i="7"/>
  <c r="Y20" i="7"/>
  <c r="Z20" i="7"/>
  <c r="AA20" i="7"/>
  <c r="AB20" i="7"/>
  <c r="P21" i="7"/>
  <c r="Q21" i="7"/>
  <c r="R21" i="7"/>
  <c r="S21" i="7"/>
  <c r="T21" i="7"/>
  <c r="U21" i="7"/>
  <c r="V21" i="7"/>
  <c r="X21" i="7"/>
  <c r="Y21" i="7"/>
  <c r="Z21" i="7"/>
  <c r="AA21" i="7"/>
  <c r="AB21" i="7"/>
  <c r="P22" i="7"/>
  <c r="Q22" i="7"/>
  <c r="R22" i="7"/>
  <c r="S22" i="7"/>
  <c r="T22" i="7"/>
  <c r="U22" i="7"/>
  <c r="V22" i="7"/>
  <c r="X22" i="7"/>
  <c r="Y22" i="7"/>
  <c r="Z22" i="7"/>
  <c r="AA22" i="7"/>
  <c r="AB22" i="7"/>
  <c r="P9" i="7"/>
  <c r="Q9" i="7"/>
  <c r="R9" i="7"/>
  <c r="S9" i="7"/>
  <c r="T9" i="7"/>
  <c r="U9" i="7"/>
  <c r="V9" i="7"/>
  <c r="X9" i="7"/>
  <c r="Y9" i="7"/>
  <c r="Z9" i="7"/>
  <c r="AA9" i="7"/>
  <c r="AB9" i="7"/>
  <c r="P10" i="7"/>
  <c r="Q10" i="7"/>
  <c r="R10" i="7"/>
  <c r="S10" i="7"/>
  <c r="T10" i="7"/>
  <c r="U10" i="7"/>
  <c r="V10" i="7"/>
  <c r="X10" i="7"/>
  <c r="Y10" i="7"/>
  <c r="Z10" i="7"/>
  <c r="AA10" i="7"/>
  <c r="AB10" i="7"/>
  <c r="Q18" i="7"/>
  <c r="R18" i="7"/>
  <c r="S18" i="7"/>
  <c r="T18" i="7"/>
  <c r="U18" i="7"/>
  <c r="V18" i="7"/>
  <c r="X18" i="7"/>
  <c r="Y18" i="7"/>
  <c r="Z18" i="7"/>
  <c r="AA18" i="7"/>
  <c r="AB18" i="7"/>
  <c r="P19" i="7"/>
  <c r="Q19" i="7"/>
  <c r="R19" i="7"/>
  <c r="S19" i="7"/>
  <c r="T19" i="7"/>
  <c r="U19" i="7"/>
  <c r="V19" i="7"/>
  <c r="X19" i="7"/>
  <c r="Y19" i="7"/>
  <c r="Z19" i="7"/>
  <c r="AA19" i="7"/>
  <c r="AB19" i="7"/>
  <c r="P11" i="7"/>
  <c r="Q11" i="7"/>
  <c r="R11" i="7"/>
  <c r="S11" i="7"/>
  <c r="T11" i="7"/>
  <c r="U11" i="7"/>
  <c r="V11" i="7"/>
  <c r="X11" i="7"/>
  <c r="Y11" i="7"/>
  <c r="Z11" i="7"/>
  <c r="AA11" i="7"/>
  <c r="AB11" i="7"/>
  <c r="P12" i="7"/>
  <c r="Q12" i="7"/>
  <c r="R12" i="7"/>
  <c r="S12" i="7"/>
  <c r="T12" i="7"/>
  <c r="U12" i="7"/>
  <c r="V12" i="7"/>
  <c r="X12" i="7"/>
  <c r="Y12" i="7"/>
  <c r="Z12" i="7"/>
  <c r="AA12" i="7"/>
  <c r="AB12" i="7"/>
  <c r="P23" i="7"/>
  <c r="Q23" i="7"/>
  <c r="R23" i="7"/>
  <c r="S23" i="7"/>
  <c r="T23" i="7"/>
  <c r="U23" i="7"/>
  <c r="V23" i="7"/>
  <c r="X23" i="7"/>
  <c r="Y23" i="7"/>
  <c r="Z23" i="7"/>
  <c r="AA23" i="7"/>
  <c r="AB23" i="7"/>
  <c r="AB5" i="7"/>
  <c r="AA5" i="7"/>
  <c r="Z5" i="7"/>
  <c r="Y5" i="7"/>
  <c r="X5" i="7"/>
  <c r="V5" i="7"/>
  <c r="U5" i="7"/>
  <c r="T5" i="7"/>
  <c r="S5" i="7"/>
  <c r="R5" i="7"/>
  <c r="Q5" i="7"/>
  <c r="P5" i="7"/>
  <c r="L21" i="9"/>
  <c r="W34" i="9"/>
  <c r="W32" i="9"/>
  <c r="W33" i="9"/>
  <c r="AC43" i="9"/>
  <c r="AC42" i="9"/>
  <c r="AC41" i="9"/>
  <c r="AC40" i="9"/>
  <c r="AC39" i="9"/>
  <c r="AB30" i="9"/>
  <c r="W30" i="9"/>
  <c r="AC34" i="9"/>
  <c r="AC33" i="9"/>
  <c r="AC32" i="9"/>
  <c r="AC31" i="9"/>
  <c r="AC30" i="9"/>
  <c r="O23" i="9"/>
  <c r="S23" i="9" s="1"/>
  <c r="L23" i="9"/>
  <c r="O12" i="9"/>
  <c r="X12" i="9" s="1"/>
  <c r="L12" i="9"/>
  <c r="O11" i="9"/>
  <c r="S11" i="9" s="1"/>
  <c r="L11" i="9"/>
  <c r="O19" i="9"/>
  <c r="X19" i="9" s="1"/>
  <c r="L19" i="9"/>
  <c r="O18" i="9"/>
  <c r="S18" i="9" s="1"/>
  <c r="L18" i="9"/>
  <c r="O10" i="9"/>
  <c r="X10" i="9" s="1"/>
  <c r="L10" i="9"/>
  <c r="O9" i="9"/>
  <c r="S9" i="9" s="1"/>
  <c r="L9" i="9"/>
  <c r="O22" i="9"/>
  <c r="X22" i="9" s="1"/>
  <c r="L22" i="9"/>
  <c r="O21" i="9"/>
  <c r="S21" i="9" s="1"/>
  <c r="O20" i="9"/>
  <c r="X20" i="9" s="1"/>
  <c r="L20" i="9"/>
  <c r="O16" i="9"/>
  <c r="S16" i="9" s="1"/>
  <c r="L16" i="9"/>
  <c r="O15" i="9"/>
  <c r="X15" i="9" s="1"/>
  <c r="L15" i="9"/>
  <c r="O14" i="9"/>
  <c r="S14" i="9" s="1"/>
  <c r="L14" i="9"/>
  <c r="O17" i="9"/>
  <c r="X17" i="9" s="1"/>
  <c r="L17" i="9"/>
  <c r="O13" i="9"/>
  <c r="S13" i="9" s="1"/>
  <c r="L13" i="9"/>
  <c r="O8" i="9"/>
  <c r="X8" i="9" s="1"/>
  <c r="L8" i="9"/>
  <c r="O7" i="9"/>
  <c r="S7" i="9" s="1"/>
  <c r="L7" i="9"/>
  <c r="O6" i="9"/>
  <c r="X6" i="9" s="1"/>
  <c r="L6" i="9"/>
  <c r="O5" i="9"/>
  <c r="U5" i="9" s="1"/>
  <c r="L5" i="9"/>
  <c r="P5" i="9" l="1"/>
  <c r="W31" i="9"/>
  <c r="Z12" i="9"/>
  <c r="R12" i="9"/>
  <c r="Q12" i="9"/>
  <c r="AA19" i="9"/>
  <c r="Z19" i="9"/>
  <c r="V23" i="9"/>
  <c r="R19" i="9"/>
  <c r="U23" i="9"/>
  <c r="Q19" i="9"/>
  <c r="AA12" i="9"/>
  <c r="V5" i="9"/>
  <c r="AA23" i="9"/>
  <c r="R23" i="9"/>
  <c r="V12" i="9"/>
  <c r="AA11" i="9"/>
  <c r="R11" i="9"/>
  <c r="V19" i="9"/>
  <c r="AA18" i="9"/>
  <c r="R18" i="9"/>
  <c r="V10" i="9"/>
  <c r="AA9" i="9"/>
  <c r="R9" i="9"/>
  <c r="V22" i="9"/>
  <c r="AA21" i="9"/>
  <c r="R21" i="9"/>
  <c r="V20" i="9"/>
  <c r="AA16" i="9"/>
  <c r="R16" i="9"/>
  <c r="V15" i="9"/>
  <c r="AA14" i="9"/>
  <c r="R14" i="9"/>
  <c r="V17" i="9"/>
  <c r="AA13" i="9"/>
  <c r="R13" i="9"/>
  <c r="V8" i="9"/>
  <c r="AA7" i="9"/>
  <c r="R7" i="9"/>
  <c r="V6" i="9"/>
  <c r="Z23" i="9"/>
  <c r="Q23" i="9"/>
  <c r="U12" i="9"/>
  <c r="Z11" i="9"/>
  <c r="Q11" i="9"/>
  <c r="U19" i="9"/>
  <c r="Z18" i="9"/>
  <c r="Q18" i="9"/>
  <c r="U10" i="9"/>
  <c r="Z9" i="9"/>
  <c r="Q9" i="9"/>
  <c r="U22" i="9"/>
  <c r="Z21" i="9"/>
  <c r="Q21" i="9"/>
  <c r="U20" i="9"/>
  <c r="Z16" i="9"/>
  <c r="Q16" i="9"/>
  <c r="U15" i="9"/>
  <c r="Z14" i="9"/>
  <c r="Q14" i="9"/>
  <c r="U17" i="9"/>
  <c r="Z13" i="9"/>
  <c r="Q13" i="9"/>
  <c r="U8" i="9"/>
  <c r="Z7" i="9"/>
  <c r="Q7" i="9"/>
  <c r="U6" i="9"/>
  <c r="AA5" i="9"/>
  <c r="X5" i="9"/>
  <c r="Y23" i="9"/>
  <c r="P23" i="9"/>
  <c r="T12" i="9"/>
  <c r="Y11" i="9"/>
  <c r="P11" i="9"/>
  <c r="T19" i="9"/>
  <c r="Y18" i="9"/>
  <c r="P18" i="9"/>
  <c r="T10" i="9"/>
  <c r="Y9" i="9"/>
  <c r="P9" i="9"/>
  <c r="T22" i="9"/>
  <c r="Y21" i="9"/>
  <c r="P21" i="9"/>
  <c r="T20" i="9"/>
  <c r="Y16" i="9"/>
  <c r="P16" i="9"/>
  <c r="T15" i="9"/>
  <c r="Y14" i="9"/>
  <c r="P14" i="9"/>
  <c r="T17" i="9"/>
  <c r="Y13" i="9"/>
  <c r="P13" i="9"/>
  <c r="T8" i="9"/>
  <c r="Y7" i="9"/>
  <c r="P7" i="9"/>
  <c r="T6" i="9"/>
  <c r="R5" i="9"/>
  <c r="Q5" i="9"/>
  <c r="Y5" i="9"/>
  <c r="X23" i="9"/>
  <c r="AB12" i="9"/>
  <c r="S12" i="9"/>
  <c r="X11" i="9"/>
  <c r="AB19" i="9"/>
  <c r="S19" i="9"/>
  <c r="S42" i="9" s="1"/>
  <c r="X18" i="9"/>
  <c r="X42" i="9" s="1"/>
  <c r="AB10" i="9"/>
  <c r="S10" i="9"/>
  <c r="X9" i="9"/>
  <c r="AB22" i="9"/>
  <c r="S22" i="9"/>
  <c r="X21" i="9"/>
  <c r="AB20" i="9"/>
  <c r="S20" i="9"/>
  <c r="X16" i="9"/>
  <c r="AB15" i="9"/>
  <c r="S15" i="9"/>
  <c r="X14" i="9"/>
  <c r="AB17" i="9"/>
  <c r="S17" i="9"/>
  <c r="X13" i="9"/>
  <c r="AB8" i="9"/>
  <c r="S8" i="9"/>
  <c r="X7" i="9"/>
  <c r="AB6" i="9"/>
  <c r="S6" i="9"/>
  <c r="Z5" i="9"/>
  <c r="V11" i="9"/>
  <c r="V18" i="9"/>
  <c r="AA10" i="9"/>
  <c r="R10" i="9"/>
  <c r="V9" i="9"/>
  <c r="AA22" i="9"/>
  <c r="R22" i="9"/>
  <c r="V21" i="9"/>
  <c r="AA20" i="9"/>
  <c r="R20" i="9"/>
  <c r="V16" i="9"/>
  <c r="AA15" i="9"/>
  <c r="R15" i="9"/>
  <c r="V14" i="9"/>
  <c r="AA17" i="9"/>
  <c r="R17" i="9"/>
  <c r="V13" i="9"/>
  <c r="AA8" i="9"/>
  <c r="R8" i="9"/>
  <c r="V7" i="9"/>
  <c r="AA6" i="9"/>
  <c r="R6" i="9"/>
  <c r="U18" i="9"/>
  <c r="U42" i="9" s="1"/>
  <c r="Z10" i="9"/>
  <c r="Q10" i="9"/>
  <c r="U9" i="9"/>
  <c r="Z22" i="9"/>
  <c r="Q22" i="9"/>
  <c r="U21" i="9"/>
  <c r="Z20" i="9"/>
  <c r="Q20" i="9"/>
  <c r="U16" i="9"/>
  <c r="Z15" i="9"/>
  <c r="Q15" i="9"/>
  <c r="U14" i="9"/>
  <c r="Z17" i="9"/>
  <c r="Q17" i="9"/>
  <c r="U13" i="9"/>
  <c r="Z8" i="9"/>
  <c r="Q8" i="9"/>
  <c r="U7" i="9"/>
  <c r="Z6" i="9"/>
  <c r="Q6" i="9"/>
  <c r="T5" i="9"/>
  <c r="AB5" i="9"/>
  <c r="T23" i="9"/>
  <c r="Y12" i="9"/>
  <c r="P12" i="9"/>
  <c r="T11" i="9"/>
  <c r="Y19" i="9"/>
  <c r="P19" i="9"/>
  <c r="T18" i="9"/>
  <c r="T42" i="9" s="1"/>
  <c r="Y10" i="9"/>
  <c r="P10" i="9"/>
  <c r="T9" i="9"/>
  <c r="Y22" i="9"/>
  <c r="P22" i="9"/>
  <c r="T21" i="9"/>
  <c r="Y20" i="9"/>
  <c r="P20" i="9"/>
  <c r="T16" i="9"/>
  <c r="Y15" i="9"/>
  <c r="P15" i="9"/>
  <c r="T14" i="9"/>
  <c r="Y17" i="9"/>
  <c r="P17" i="9"/>
  <c r="T13" i="9"/>
  <c r="Y8" i="9"/>
  <c r="P8" i="9"/>
  <c r="T7" i="9"/>
  <c r="Y6" i="9"/>
  <c r="P6" i="9"/>
  <c r="S5" i="9"/>
  <c r="U11" i="9"/>
  <c r="AB23" i="9"/>
  <c r="AB11" i="9"/>
  <c r="AB18" i="9"/>
  <c r="AB9" i="9"/>
  <c r="AB21" i="9"/>
  <c r="AB16" i="9"/>
  <c r="AB14" i="9"/>
  <c r="AB13" i="9"/>
  <c r="AB7" i="9"/>
  <c r="L5" i="1"/>
  <c r="AC30" i="7"/>
  <c r="AC34" i="7"/>
  <c r="AC33" i="7"/>
  <c r="AC32" i="7"/>
  <c r="AC31" i="7"/>
  <c r="AC31" i="6"/>
  <c r="AC32" i="6"/>
  <c r="AC33" i="6"/>
  <c r="AC34" i="6"/>
  <c r="AC30" i="6"/>
  <c r="V42" i="9" l="1"/>
  <c r="Q31" i="9"/>
  <c r="P42" i="9"/>
  <c r="P41" i="9"/>
  <c r="P32" i="9"/>
  <c r="Y43" i="9"/>
  <c r="S43" i="9"/>
  <c r="AB42" i="9"/>
  <c r="P40" i="9"/>
  <c r="S39" i="9"/>
  <c r="X43" i="9"/>
  <c r="Q42" i="9"/>
  <c r="Z42" i="9"/>
  <c r="T40" i="9"/>
  <c r="S41" i="9"/>
  <c r="R42" i="9"/>
  <c r="AB39" i="9"/>
  <c r="V40" i="9"/>
  <c r="S40" i="9"/>
  <c r="T43" i="9"/>
  <c r="Y42" i="9"/>
  <c r="V43" i="9"/>
  <c r="AA42" i="9"/>
  <c r="U39" i="9"/>
  <c r="X41" i="9"/>
  <c r="AA39" i="9"/>
  <c r="R41" i="9"/>
  <c r="P43" i="9"/>
  <c r="T39" i="9"/>
  <c r="Y39" i="9"/>
  <c r="Y41" i="9"/>
  <c r="Q40" i="9"/>
  <c r="AA41" i="9"/>
  <c r="AB41" i="9"/>
  <c r="U40" i="9"/>
  <c r="R43" i="9"/>
  <c r="AB43" i="9"/>
  <c r="R39" i="9"/>
  <c r="Z40" i="9"/>
  <c r="V41" i="9"/>
  <c r="AA34" i="9"/>
  <c r="AA43" i="9"/>
  <c r="R40" i="9"/>
  <c r="Z39" i="9"/>
  <c r="Y40" i="9"/>
  <c r="Q41" i="9"/>
  <c r="U43" i="9"/>
  <c r="AA40" i="9"/>
  <c r="Q39" i="9"/>
  <c r="Z41" i="9"/>
  <c r="T41" i="9"/>
  <c r="Q43" i="9"/>
  <c r="AB40" i="9"/>
  <c r="U41" i="9"/>
  <c r="Z43" i="9"/>
  <c r="X40" i="9"/>
  <c r="X39" i="9"/>
  <c r="V39" i="9"/>
  <c r="T32" i="9"/>
  <c r="V31" i="9"/>
  <c r="P39" i="9"/>
  <c r="Q32" i="9"/>
  <c r="Q33" i="9"/>
  <c r="V32" i="9"/>
  <c r="Z32" i="9"/>
  <c r="AB32" i="9"/>
  <c r="AA32" i="9"/>
  <c r="Q34" i="9"/>
  <c r="AA30" i="9"/>
  <c r="U34" i="9"/>
  <c r="U32" i="9"/>
  <c r="AA33" i="9"/>
  <c r="V33" i="9"/>
  <c r="AB33" i="9"/>
  <c r="T33" i="9"/>
  <c r="U33" i="9"/>
  <c r="R32" i="9"/>
  <c r="T34" i="9"/>
  <c r="S30" i="9"/>
  <c r="V34" i="9"/>
  <c r="AB34" i="9"/>
  <c r="S34" i="9"/>
  <c r="R30" i="9"/>
  <c r="Y30" i="9"/>
  <c r="Z31" i="9"/>
  <c r="Y31" i="9"/>
  <c r="Z30" i="9"/>
  <c r="U30" i="9"/>
  <c r="T31" i="9"/>
  <c r="AA31" i="9"/>
  <c r="Q30" i="9"/>
  <c r="V30" i="9"/>
  <c r="S33" i="9"/>
  <c r="S32" i="9"/>
  <c r="T30" i="9"/>
  <c r="Z33" i="9"/>
  <c r="AB31" i="9"/>
  <c r="U31" i="9"/>
  <c r="S31" i="9"/>
  <c r="Z34" i="9"/>
  <c r="Y33" i="9"/>
  <c r="X32" i="9"/>
  <c r="R33" i="9"/>
  <c r="P30" i="9"/>
  <c r="Y32" i="9"/>
  <c r="P33" i="9"/>
  <c r="R34" i="9"/>
  <c r="X30" i="9"/>
  <c r="R31" i="9"/>
  <c r="X31" i="9"/>
  <c r="X34" i="9"/>
  <c r="Y34" i="9"/>
  <c r="P31" i="9"/>
  <c r="X33" i="9"/>
  <c r="P34" i="9"/>
  <c r="O23" i="7"/>
  <c r="L23" i="7"/>
  <c r="O22" i="7"/>
  <c r="L22" i="7"/>
  <c r="O21" i="7"/>
  <c r="L21" i="7"/>
  <c r="O20" i="7"/>
  <c r="L20" i="7"/>
  <c r="O19" i="7"/>
  <c r="L19" i="7"/>
  <c r="O18" i="7"/>
  <c r="L18" i="7"/>
  <c r="O17" i="7"/>
  <c r="L17" i="7"/>
  <c r="O16" i="7"/>
  <c r="L16" i="7"/>
  <c r="O15" i="7"/>
  <c r="L15" i="7"/>
  <c r="O14" i="7"/>
  <c r="L14" i="7"/>
  <c r="O13" i="7"/>
  <c r="L13" i="7"/>
  <c r="O12" i="7"/>
  <c r="L12" i="7"/>
  <c r="O11" i="7"/>
  <c r="L11" i="7"/>
  <c r="O10" i="7"/>
  <c r="L10" i="7"/>
  <c r="O9" i="7"/>
  <c r="L9" i="7"/>
  <c r="O8" i="7"/>
  <c r="L8" i="7"/>
  <c r="O7" i="7"/>
  <c r="L7" i="7"/>
  <c r="O6" i="7"/>
  <c r="L6" i="7"/>
  <c r="O5" i="7"/>
  <c r="L5" i="7"/>
  <c r="L17" i="6"/>
  <c r="O17" i="6"/>
  <c r="L15" i="6"/>
  <c r="O15" i="6"/>
  <c r="L13" i="6"/>
  <c r="O13" i="6"/>
  <c r="L5" i="6"/>
  <c r="T15" i="6" l="1"/>
  <c r="U15" i="6"/>
  <c r="V15" i="6"/>
  <c r="X15" i="6"/>
  <c r="P15" i="6"/>
  <c r="Y15" i="6"/>
  <c r="Q15" i="6"/>
  <c r="Z15" i="6"/>
  <c r="R15" i="6"/>
  <c r="AA15" i="6"/>
  <c r="S15" i="6"/>
  <c r="AB15" i="6"/>
  <c r="T17" i="6"/>
  <c r="U17" i="6"/>
  <c r="V17" i="6"/>
  <c r="X17" i="6"/>
  <c r="P17" i="6"/>
  <c r="Y17" i="6"/>
  <c r="Q17" i="6"/>
  <c r="Z17" i="6"/>
  <c r="R17" i="6"/>
  <c r="AA17" i="6"/>
  <c r="S17" i="6"/>
  <c r="AB17" i="6"/>
  <c r="P13" i="6"/>
  <c r="Y13" i="6"/>
  <c r="Q13" i="6"/>
  <c r="Z13" i="6"/>
  <c r="R13" i="6"/>
  <c r="AA13" i="6"/>
  <c r="S13" i="6"/>
  <c r="AB13" i="6"/>
  <c r="T13" i="6"/>
  <c r="U13" i="6"/>
  <c r="V13" i="6"/>
  <c r="X13" i="6"/>
  <c r="H23" i="5"/>
  <c r="G23" i="5"/>
  <c r="O23" i="6"/>
  <c r="L23" i="6"/>
  <c r="O22" i="6"/>
  <c r="L22" i="6"/>
  <c r="O21" i="6"/>
  <c r="L21" i="6"/>
  <c r="O20" i="6"/>
  <c r="L20" i="6"/>
  <c r="O19" i="6"/>
  <c r="L19" i="6"/>
  <c r="O18" i="6"/>
  <c r="L18" i="6"/>
  <c r="O16" i="6"/>
  <c r="L16" i="6"/>
  <c r="O14" i="6"/>
  <c r="L14" i="6"/>
  <c r="O12" i="6"/>
  <c r="L12" i="6"/>
  <c r="O11" i="6"/>
  <c r="L11" i="6"/>
  <c r="O10" i="6"/>
  <c r="L10" i="6"/>
  <c r="O9" i="6"/>
  <c r="L9" i="6"/>
  <c r="O8" i="6"/>
  <c r="L8" i="6"/>
  <c r="O7" i="6"/>
  <c r="L7" i="6"/>
  <c r="O6" i="6"/>
  <c r="L6" i="6"/>
  <c r="O5" i="6"/>
  <c r="G24" i="5"/>
  <c r="O6" i="4"/>
  <c r="O7" i="4"/>
  <c r="O8" i="4"/>
  <c r="O17" i="4"/>
  <c r="O18" i="4"/>
  <c r="O21" i="4"/>
  <c r="O22" i="4"/>
  <c r="O9" i="4"/>
  <c r="O11" i="4"/>
  <c r="O12" i="4"/>
  <c r="O13" i="4"/>
  <c r="O10" i="4"/>
  <c r="O19" i="4"/>
  <c r="O20" i="4"/>
  <c r="O14" i="4"/>
  <c r="O15" i="4"/>
  <c r="O16" i="4"/>
  <c r="O23" i="4"/>
  <c r="O5" i="4"/>
  <c r="T10" i="6" l="1"/>
  <c r="U10" i="6"/>
  <c r="V10" i="6"/>
  <c r="X10" i="6"/>
  <c r="P10" i="6"/>
  <c r="Y10" i="6"/>
  <c r="Q10" i="6"/>
  <c r="Z10" i="6"/>
  <c r="R10" i="6"/>
  <c r="AA10" i="6"/>
  <c r="S10" i="6"/>
  <c r="AB10" i="6"/>
  <c r="P21" i="6"/>
  <c r="Y21" i="6"/>
  <c r="Q21" i="6"/>
  <c r="Z21" i="6"/>
  <c r="R21" i="6"/>
  <c r="AA21" i="6"/>
  <c r="S21" i="6"/>
  <c r="AB21" i="6"/>
  <c r="T21" i="6"/>
  <c r="U21" i="6"/>
  <c r="V21" i="6"/>
  <c r="X21" i="6"/>
  <c r="T8" i="6"/>
  <c r="U8" i="6"/>
  <c r="V8" i="6"/>
  <c r="X8" i="6"/>
  <c r="P8" i="6"/>
  <c r="Y8" i="6"/>
  <c r="Q8" i="6"/>
  <c r="Z8" i="6"/>
  <c r="R8" i="6"/>
  <c r="AA8" i="6"/>
  <c r="S8" i="6"/>
  <c r="AB8" i="6"/>
  <c r="X5" i="6"/>
  <c r="V5" i="6"/>
  <c r="U5" i="6"/>
  <c r="T5" i="6"/>
  <c r="AB5" i="6"/>
  <c r="S5" i="6"/>
  <c r="AA5" i="6"/>
  <c r="R5" i="6"/>
  <c r="Z5" i="6"/>
  <c r="Q5" i="6"/>
  <c r="Y5" i="6"/>
  <c r="P5" i="6"/>
  <c r="P9" i="6"/>
  <c r="Y9" i="6"/>
  <c r="Q9" i="6"/>
  <c r="Z9" i="6"/>
  <c r="R9" i="6"/>
  <c r="AA9" i="6"/>
  <c r="S9" i="6"/>
  <c r="AB9" i="6"/>
  <c r="T9" i="6"/>
  <c r="U9" i="6"/>
  <c r="V9" i="6"/>
  <c r="X9" i="6"/>
  <c r="P14" i="6"/>
  <c r="Y14" i="6"/>
  <c r="Q14" i="6"/>
  <c r="Z14" i="6"/>
  <c r="R14" i="6"/>
  <c r="AA14" i="6"/>
  <c r="S14" i="6"/>
  <c r="AB14" i="6"/>
  <c r="T14" i="6"/>
  <c r="U14" i="6"/>
  <c r="V14" i="6"/>
  <c r="X14" i="6"/>
  <c r="T20" i="6"/>
  <c r="U20" i="6"/>
  <c r="V20" i="6"/>
  <c r="X20" i="6"/>
  <c r="P20" i="6"/>
  <c r="Y20" i="6"/>
  <c r="Q20" i="6"/>
  <c r="Z20" i="6"/>
  <c r="R20" i="6"/>
  <c r="AA20" i="6"/>
  <c r="S20" i="6"/>
  <c r="AB20" i="6"/>
  <c r="T12" i="6"/>
  <c r="U12" i="6"/>
  <c r="V12" i="6"/>
  <c r="X12" i="6"/>
  <c r="P12" i="6"/>
  <c r="Y12" i="6"/>
  <c r="Q12" i="6"/>
  <c r="Z12" i="6"/>
  <c r="R12" i="6"/>
  <c r="AA12" i="6"/>
  <c r="S12" i="6"/>
  <c r="AB12" i="6"/>
  <c r="T19" i="6"/>
  <c r="U19" i="6"/>
  <c r="V19" i="6"/>
  <c r="X19" i="6"/>
  <c r="P19" i="6"/>
  <c r="Y19" i="6"/>
  <c r="Q19" i="6"/>
  <c r="Z19" i="6"/>
  <c r="R19" i="6"/>
  <c r="AA19" i="6"/>
  <c r="S19" i="6"/>
  <c r="AB19" i="6"/>
  <c r="P23" i="6"/>
  <c r="Y23" i="6"/>
  <c r="Q23" i="6"/>
  <c r="Z23" i="6"/>
  <c r="R23" i="6"/>
  <c r="AA23" i="6"/>
  <c r="S23" i="6"/>
  <c r="AB23" i="6"/>
  <c r="T23" i="6"/>
  <c r="U23" i="6"/>
  <c r="V23" i="6"/>
  <c r="X23" i="6"/>
  <c r="P16" i="6"/>
  <c r="Y16" i="6"/>
  <c r="Q16" i="6"/>
  <c r="Z16" i="6"/>
  <c r="R16" i="6"/>
  <c r="AA16" i="6"/>
  <c r="S16" i="6"/>
  <c r="AB16" i="6"/>
  <c r="T16" i="6"/>
  <c r="U16" i="6"/>
  <c r="V16" i="6"/>
  <c r="X16" i="6"/>
  <c r="T6" i="6"/>
  <c r="U6" i="6"/>
  <c r="V6" i="6"/>
  <c r="X6" i="6"/>
  <c r="P6" i="6"/>
  <c r="Y6" i="6"/>
  <c r="Q6" i="6"/>
  <c r="Z6" i="6"/>
  <c r="R6" i="6"/>
  <c r="AA6" i="6"/>
  <c r="S6" i="6"/>
  <c r="AB6" i="6"/>
  <c r="P7" i="6"/>
  <c r="Y7" i="6"/>
  <c r="Q7" i="6"/>
  <c r="Z7" i="6"/>
  <c r="R7" i="6"/>
  <c r="AA7" i="6"/>
  <c r="S7" i="6"/>
  <c r="AB7" i="6"/>
  <c r="T7" i="6"/>
  <c r="U7" i="6"/>
  <c r="V7" i="6"/>
  <c r="X7" i="6"/>
  <c r="P11" i="6"/>
  <c r="Y11" i="6"/>
  <c r="Q11" i="6"/>
  <c r="Z11" i="6"/>
  <c r="R11" i="6"/>
  <c r="AA11" i="6"/>
  <c r="S11" i="6"/>
  <c r="AB11" i="6"/>
  <c r="T11" i="6"/>
  <c r="U11" i="6"/>
  <c r="V11" i="6"/>
  <c r="X11" i="6"/>
  <c r="P18" i="6"/>
  <c r="Y18" i="6"/>
  <c r="Q18" i="6"/>
  <c r="Z18" i="6"/>
  <c r="R18" i="6"/>
  <c r="AA18" i="6"/>
  <c r="S18" i="6"/>
  <c r="AB18" i="6"/>
  <c r="T18" i="6"/>
  <c r="U18" i="6"/>
  <c r="V18" i="6"/>
  <c r="X18" i="6"/>
  <c r="T22" i="6"/>
  <c r="U22" i="6"/>
  <c r="V22" i="6"/>
  <c r="X22" i="6"/>
  <c r="P22" i="6"/>
  <c r="Y22" i="6"/>
  <c r="Q22" i="6"/>
  <c r="Z22" i="6"/>
  <c r="R22" i="6"/>
  <c r="AA22" i="6"/>
  <c r="S22" i="6"/>
  <c r="AB22" i="6"/>
  <c r="Z32" i="6"/>
  <c r="W34" i="7"/>
  <c r="P30" i="7"/>
  <c r="R32" i="7"/>
  <c r="O23" i="1"/>
  <c r="O16" i="1"/>
  <c r="O15" i="1"/>
  <c r="O14" i="1"/>
  <c r="O20" i="1"/>
  <c r="O19" i="1"/>
  <c r="O10" i="1"/>
  <c r="O13" i="1"/>
  <c r="O12" i="1"/>
  <c r="O11" i="1"/>
  <c r="O9" i="1"/>
  <c r="O22" i="1"/>
  <c r="O21" i="1"/>
  <c r="O18" i="1"/>
  <c r="O17" i="1"/>
  <c r="O8" i="1"/>
  <c r="O7" i="1"/>
  <c r="O6" i="1"/>
  <c r="O5" i="1"/>
  <c r="AB31" i="7" l="1"/>
  <c r="U31" i="7"/>
  <c r="X30" i="7"/>
  <c r="X31" i="7"/>
  <c r="V34" i="7"/>
  <c r="S32" i="7"/>
  <c r="V33" i="7"/>
  <c r="Z32" i="7"/>
  <c r="AA33" i="7"/>
  <c r="Y33" i="7"/>
  <c r="Y30" i="7"/>
  <c r="T32" i="7"/>
  <c r="AB34" i="7"/>
  <c r="W33" i="7"/>
  <c r="V32" i="7"/>
  <c r="S34" i="7"/>
  <c r="AB32" i="7"/>
  <c r="V32" i="6"/>
  <c r="U32" i="7"/>
  <c r="Q34" i="7"/>
  <c r="R34" i="7"/>
  <c r="AA31" i="7"/>
  <c r="R31" i="7"/>
  <c r="U33" i="7"/>
  <c r="Y32" i="7"/>
  <c r="U34" i="7"/>
  <c r="AA34" i="7"/>
  <c r="X34" i="7"/>
  <c r="W32" i="6"/>
  <c r="X33" i="7"/>
  <c r="Q30" i="7"/>
  <c r="Z31" i="7"/>
  <c r="Z30" i="7"/>
  <c r="S31" i="7"/>
  <c r="R30" i="7"/>
  <c r="U30" i="7"/>
  <c r="S33" i="7"/>
  <c r="AA32" i="7"/>
  <c r="Q32" i="7"/>
  <c r="W31" i="7"/>
  <c r="V30" i="7"/>
  <c r="W32" i="7"/>
  <c r="R33" i="7"/>
  <c r="T30" i="7"/>
  <c r="T31" i="7"/>
  <c r="T34" i="7"/>
  <c r="P33" i="7"/>
  <c r="P34" i="7"/>
  <c r="S30" i="7"/>
  <c r="Y34" i="7"/>
  <c r="AA30" i="7"/>
  <c r="V31" i="7"/>
  <c r="AB33" i="7"/>
  <c r="Z33" i="7"/>
  <c r="Q33" i="7"/>
  <c r="P31" i="7"/>
  <c r="W30" i="7"/>
  <c r="P32" i="7"/>
  <c r="X32" i="7"/>
  <c r="T33" i="7"/>
  <c r="Q31" i="7"/>
  <c r="Z34" i="7"/>
  <c r="Y31" i="7"/>
  <c r="AB30" i="7"/>
  <c r="AA33" i="6"/>
  <c r="P33" i="6"/>
  <c r="AA31" i="6"/>
  <c r="V33" i="6"/>
  <c r="V31" i="6"/>
  <c r="V34" i="6"/>
  <c r="U32" i="6"/>
  <c r="Z30" i="6"/>
  <c r="AA32" i="6"/>
  <c r="AB33" i="6"/>
  <c r="AB32" i="6"/>
  <c r="U31" i="6"/>
  <c r="W33" i="6"/>
  <c r="S30" i="6"/>
  <c r="U30" i="6"/>
  <c r="W34" i="6"/>
  <c r="Z34" i="6"/>
  <c r="S31" i="6"/>
  <c r="T31" i="6"/>
  <c r="R32" i="6"/>
  <c r="S33" i="6"/>
  <c r="AB30" i="6"/>
  <c r="U34" i="6"/>
  <c r="W30" i="6"/>
  <c r="Y32" i="6"/>
  <c r="Z31" i="6"/>
  <c r="X33" i="6"/>
  <c r="U33" i="6"/>
  <c r="R34" i="6"/>
  <c r="R33" i="6"/>
  <c r="P32" i="6"/>
  <c r="Q30" i="6"/>
  <c r="T32" i="6"/>
  <c r="Q31" i="6"/>
  <c r="T33" i="6"/>
  <c r="W31" i="6"/>
  <c r="S34" i="6"/>
  <c r="Q33" i="6"/>
  <c r="X30" i="6"/>
  <c r="AB31" i="6"/>
  <c r="V30" i="6"/>
  <c r="Z33" i="6"/>
  <c r="Q32" i="6"/>
  <c r="R31" i="6"/>
  <c r="AB34" i="6"/>
  <c r="Y33" i="6"/>
  <c r="S32" i="6"/>
  <c r="Y31" i="6"/>
  <c r="AA34" i="6"/>
  <c r="Q34" i="6"/>
  <c r="P30" i="6"/>
  <c r="Y30" i="6"/>
  <c r="AA30" i="6"/>
  <c r="P34" i="6"/>
  <c r="T30" i="6"/>
  <c r="X32" i="6"/>
  <c r="X31" i="6"/>
  <c r="P31" i="6"/>
  <c r="R30" i="6"/>
  <c r="T34" i="6"/>
  <c r="Y34" i="6"/>
  <c r="X34" i="6"/>
  <c r="L14" i="4"/>
  <c r="L15" i="4"/>
  <c r="L16" i="4"/>
  <c r="L23" i="4"/>
  <c r="L23" i="1"/>
  <c r="L16" i="1"/>
  <c r="L15" i="1"/>
  <c r="L14" i="1"/>
  <c r="L20" i="4" l="1"/>
  <c r="L19" i="4"/>
  <c r="L10" i="4"/>
  <c r="L13" i="4"/>
  <c r="L12" i="4"/>
  <c r="L11" i="4"/>
  <c r="L9" i="4"/>
  <c r="L22" i="4"/>
  <c r="L21" i="4"/>
  <c r="L18" i="4"/>
  <c r="L17" i="4"/>
  <c r="L8" i="4"/>
  <c r="L7" i="4"/>
  <c r="L6" i="4"/>
  <c r="L5" i="4"/>
  <c r="L7" i="1"/>
  <c r="L8" i="1"/>
  <c r="L17" i="1"/>
  <c r="L18" i="1"/>
  <c r="L21" i="1"/>
  <c r="L22" i="1"/>
  <c r="L9" i="1"/>
  <c r="L11" i="1"/>
  <c r="L12" i="1"/>
  <c r="L13" i="1"/>
  <c r="L10" i="1"/>
  <c r="L19" i="1"/>
  <c r="L20" i="1"/>
  <c r="L6" i="1"/>
</calcChain>
</file>

<file path=xl/sharedStrings.xml><?xml version="1.0" encoding="utf-8"?>
<sst xmlns="http://schemas.openxmlformats.org/spreadsheetml/2006/main" count="826" uniqueCount="84">
  <si>
    <t>Mouse</t>
  </si>
  <si>
    <t>Date</t>
  </si>
  <si>
    <t>Blood</t>
  </si>
  <si>
    <t>Skin</t>
  </si>
  <si>
    <t>Muscle</t>
  </si>
  <si>
    <t>Heart</t>
  </si>
  <si>
    <t>Lungs</t>
  </si>
  <si>
    <t>Liver</t>
  </si>
  <si>
    <t>Tumor</t>
  </si>
  <si>
    <t>Spleen</t>
  </si>
  <si>
    <t>Stomach</t>
  </si>
  <si>
    <t>Kidneys</t>
  </si>
  <si>
    <t>Sm. Intestines</t>
  </si>
  <si>
    <t>Lg. Intestines</t>
  </si>
  <si>
    <t>Tissue Mass (g)</t>
  </si>
  <si>
    <t>Timepoint
(h)</t>
  </si>
  <si>
    <t>BW
(g)</t>
  </si>
  <si>
    <t>Tumor Actvity (uCi)</t>
  </si>
  <si>
    <t>Biodistribution Study - Tissue Samples Mass</t>
  </si>
  <si>
    <t>Gamma Count - Raw CPM</t>
  </si>
  <si>
    <t>Standard
Tube</t>
  </si>
  <si>
    <t>Time</t>
  </si>
  <si>
    <t>Activity
uCi</t>
  </si>
  <si>
    <t>Raw CPM</t>
  </si>
  <si>
    <t>Biodistribution Standard Curve</t>
  </si>
  <si>
    <t>Counts</t>
  </si>
  <si>
    <t>% DT</t>
  </si>
  <si>
    <t>Inj.
Time</t>
  </si>
  <si>
    <t>Measure
Time</t>
  </si>
  <si>
    <t>Sacrifice
Date</t>
  </si>
  <si>
    <t>Inj. 
Time</t>
  </si>
  <si>
    <t>Inj. 
Date</t>
  </si>
  <si>
    <t>Measure Date</t>
  </si>
  <si>
    <t>Inj.
 Date</t>
  </si>
  <si>
    <t>Include</t>
  </si>
  <si>
    <t>Yes</t>
  </si>
  <si>
    <t>No</t>
  </si>
  <si>
    <t>Slope</t>
  </si>
  <si>
    <t>Intercept</t>
  </si>
  <si>
    <t>Sacrifice Date</t>
  </si>
  <si>
    <t>Elapsed Time (d)</t>
  </si>
  <si>
    <t>Decay Corrected % Injected Dose</t>
  </si>
  <si>
    <t>Biodistribution Study - Decay Corrected % ID</t>
  </si>
  <si>
    <t>Summary</t>
  </si>
  <si>
    <t>Time point (h)</t>
  </si>
  <si>
    <t>Pancreas</t>
  </si>
  <si>
    <t>Injected Activity (uCi)</t>
  </si>
  <si>
    <t>N/A</t>
  </si>
  <si>
    <t>BioD Body
Activity (uCi)</t>
  </si>
  <si>
    <t>% Tumor Activity</t>
  </si>
  <si>
    <t xml:space="preserve">        Averages</t>
  </si>
  <si>
    <t>n</t>
  </si>
  <si>
    <t>Time point       
(h)</t>
  </si>
  <si>
    <t>Activity per Mass Tissue (uCi/g)</t>
  </si>
  <si>
    <t>Biodistribution Study -%ID/g (Decay Corrected)</t>
  </si>
  <si>
    <t>Standard Deviation</t>
  </si>
  <si>
    <t>% Injected Dose (Decay Corrected)</t>
  </si>
  <si>
    <t>Biodistribution Study - % Injected Dose (Decay Corrected)</t>
  </si>
  <si>
    <r>
      <t xml:space="preserve">MIRD Dosimetry Analysis of </t>
    </r>
    <r>
      <rPr>
        <b/>
        <vertAlign val="superscript"/>
        <sz val="24"/>
        <color theme="1"/>
        <rFont val="Calibri"/>
        <family val="2"/>
        <scheme val="minor"/>
      </rPr>
      <t>131</t>
    </r>
    <r>
      <rPr>
        <b/>
        <sz val="24"/>
        <color theme="1"/>
        <rFont val="Calibri"/>
        <family val="2"/>
        <scheme val="minor"/>
      </rPr>
      <t>I-ELP Biodistribution in Orthotopic BxPc3-luc2 Pancreatic Tumors</t>
    </r>
  </si>
  <si>
    <t>Small Intestines</t>
  </si>
  <si>
    <t>Large Intestines</t>
  </si>
  <si>
    <t>Decay-Normalized Tumor Uptake (%ID/g)</t>
  </si>
  <si>
    <t>Timepoint (h)</t>
  </si>
  <si>
    <t>M #1</t>
  </si>
  <si>
    <t>M #2</t>
  </si>
  <si>
    <t>M #3</t>
  </si>
  <si>
    <t>M #4</t>
  </si>
  <si>
    <t>M #5</t>
  </si>
  <si>
    <t>Avg.</t>
  </si>
  <si>
    <t>Decayed Tumor Uptake Levels (%ID/g)</t>
  </si>
  <si>
    <r>
      <rPr>
        <b/>
        <vertAlign val="superscript"/>
        <sz val="14"/>
        <color theme="1"/>
        <rFont val="Calibri"/>
        <family val="2"/>
        <scheme val="minor"/>
      </rPr>
      <t>131</t>
    </r>
    <r>
      <rPr>
        <b/>
        <sz val="14"/>
        <color theme="1"/>
        <rFont val="Calibri"/>
        <family val="2"/>
        <scheme val="minor"/>
      </rPr>
      <t>Iodine Dose-rate, MIRD Formulation (cGy mCi</t>
    </r>
    <r>
      <rPr>
        <b/>
        <vertAlign val="superscript"/>
        <sz val="14"/>
        <color theme="1"/>
        <rFont val="Calibri"/>
        <family val="2"/>
        <scheme val="minor"/>
      </rPr>
      <t>-1</t>
    </r>
    <r>
      <rPr>
        <b/>
        <sz val="14"/>
        <color theme="1"/>
        <rFont val="Calibri"/>
        <family val="2"/>
        <scheme val="minor"/>
      </rPr>
      <t xml:space="preserve"> h</t>
    </r>
    <r>
      <rPr>
        <b/>
        <vertAlign val="superscript"/>
        <sz val="14"/>
        <color theme="1"/>
        <rFont val="Calibri"/>
        <family val="2"/>
        <scheme val="minor"/>
      </rPr>
      <t>-1</t>
    </r>
    <r>
      <rPr>
        <b/>
        <sz val="14"/>
        <color theme="1"/>
        <rFont val="Calibri"/>
        <family val="2"/>
        <scheme val="minor"/>
      </rPr>
      <t>)</t>
    </r>
  </si>
  <si>
    <r>
      <t xml:space="preserve">Total Cumulative </t>
    </r>
    <r>
      <rPr>
        <b/>
        <vertAlign val="superscript"/>
        <sz val="14"/>
        <color theme="1"/>
        <rFont val="Calibri"/>
        <family val="2"/>
        <scheme val="minor"/>
      </rPr>
      <t>131</t>
    </r>
    <r>
      <rPr>
        <b/>
        <sz val="14"/>
        <color theme="1"/>
        <rFont val="Calibri"/>
        <family val="2"/>
        <scheme val="minor"/>
      </rPr>
      <t>Iodine Dose Calculation, MIRD (Gy/mCi)</t>
    </r>
  </si>
  <si>
    <r>
      <rPr>
        <b/>
        <vertAlign val="superscript"/>
        <sz val="11"/>
        <color theme="1"/>
        <rFont val="Calibri"/>
        <family val="2"/>
        <scheme val="minor"/>
      </rPr>
      <t>131</t>
    </r>
    <r>
      <rPr>
        <b/>
        <sz val="11"/>
        <color theme="1"/>
        <rFont val="Calibri"/>
        <family val="2"/>
        <scheme val="minor"/>
      </rPr>
      <t>I Dose (rad*g)/(uCi*h):</t>
    </r>
  </si>
  <si>
    <t>Trapezoidal Rule Calculation</t>
  </si>
  <si>
    <t>Abs. Dose
rad/uCi</t>
  </si>
  <si>
    <t>Abs. Dose
cGy/mCi</t>
  </si>
  <si>
    <t>Abs. Dose
Gy/mCi</t>
  </si>
  <si>
    <t>216+</t>
  </si>
  <si>
    <t>Rad/uCi</t>
  </si>
  <si>
    <t>cGy/mCi</t>
  </si>
  <si>
    <t>Gy/mCi</t>
  </si>
  <si>
    <t xml:space="preserve">216 hr Cumulative Absorbed Dose:  </t>
  </si>
  <si>
    <t xml:space="preserve">Total Cumulative Absorbed Dose*:  </t>
  </si>
  <si>
    <t>* Exposure dose after 216h estimated on physical decay alone of activity registered at 216h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</si>
</sst>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"/>
    <numFmt numFmtId="166" formatCode="0.00000"/>
    <numFmt numFmtId="167" formatCode="0.0%"/>
    <numFmt numFmtId="168" formatCode="0.000E+00"/>
    <numFmt numFmtId="169" formatCode="0.000"/>
    <numFmt numFmtId="170" formatCode="0.00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trike/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vertAlign val="superscript"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rgb="FF0000CC"/>
      <name val="Calibri"/>
      <family val="2"/>
      <scheme val="minor"/>
    </font>
    <font>
      <b/>
      <u/>
      <sz val="18"/>
      <color rgb="FFC00000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CC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rgb="FF0000CC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66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dotted">
        <color theme="0" tint="-0.14996795556505021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indexed="64"/>
      </right>
      <top style="medium">
        <color indexed="64"/>
      </top>
      <bottom style="dotted">
        <color theme="0" tint="-0.14996795556505021"/>
      </bottom>
      <diagonal/>
    </border>
    <border>
      <left style="medium">
        <color indexed="64"/>
      </left>
      <right style="dotted">
        <color theme="0" tint="-0.14996795556505021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 style="medium">
        <color indexed="64"/>
      </right>
      <top style="dotted">
        <color theme="0" tint="-0.14996795556505021"/>
      </top>
      <bottom style="medium">
        <color indexed="64"/>
      </bottom>
      <diagonal/>
    </border>
    <border>
      <left/>
      <right style="dotted">
        <color theme="0" tint="-0.14996795556505021"/>
      </right>
      <top style="medium">
        <color indexed="64"/>
      </top>
      <bottom style="dotted">
        <color theme="0" tint="-0.14996795556505021"/>
      </bottom>
      <diagonal/>
    </border>
    <border>
      <left/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indexed="64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dotted">
        <color theme="0" tint="-0.14996795556505021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 style="thin">
        <color auto="1"/>
      </right>
      <top style="medium">
        <color indexed="64"/>
      </top>
      <bottom/>
      <diagonal/>
    </border>
    <border>
      <left style="dotted">
        <color theme="0" tint="-0.14996795556505021"/>
      </left>
      <right style="thin">
        <color auto="1"/>
      </right>
      <top/>
      <bottom style="medium">
        <color indexed="64"/>
      </bottom>
      <diagonal/>
    </border>
    <border>
      <left style="dotted">
        <color theme="0" tint="-0.14996795556505021"/>
      </left>
      <right/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/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/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indexed="64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 style="medium">
        <color indexed="64"/>
      </bottom>
      <diagonal/>
    </border>
    <border>
      <left style="dotted">
        <color theme="0" tint="-0.14996795556505021"/>
      </left>
      <right style="dotted">
        <color theme="0" tint="-0.14993743705557422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3743705557422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3743705557422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 style="dotted">
        <color auto="1"/>
      </right>
      <top style="medium">
        <color indexed="64"/>
      </top>
      <bottom/>
      <diagonal/>
    </border>
    <border>
      <left style="dotted">
        <color theme="0" tint="-0.14996795556505021"/>
      </left>
      <right style="dotted">
        <color auto="1"/>
      </right>
      <top/>
      <bottom style="medium">
        <color indexed="64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6795556505021"/>
      </top>
      <bottom style="medium">
        <color indexed="64"/>
      </bottom>
      <diagonal/>
    </border>
    <border>
      <left/>
      <right style="dotted">
        <color theme="0" tint="-0.14993743705557422"/>
      </right>
      <top style="medium">
        <color indexed="64"/>
      </top>
      <bottom style="dotted">
        <color theme="0" tint="-0.14996795556505021"/>
      </bottom>
      <diagonal/>
    </border>
    <border>
      <left/>
      <right style="dotted">
        <color theme="0" tint="-0.14993743705557422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dotted">
        <color theme="0" tint="-0.14993743705557422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3743705557422"/>
      </left>
      <right style="dotted">
        <color theme="0" tint="-0.14990691854609822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3743705557422"/>
      </left>
      <right style="dotted">
        <color theme="0" tint="-0.14990691854609822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3743705557422"/>
      </left>
      <right style="dotted">
        <color theme="0" tint="-0.14990691854609822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3743705557422"/>
      </left>
      <right/>
      <top style="dotted">
        <color theme="0" tint="-0.14996795556505021"/>
      </top>
      <bottom style="medium">
        <color indexed="64"/>
      </bottom>
      <diagonal/>
    </border>
    <border>
      <left/>
      <right style="dotted">
        <color theme="1"/>
      </right>
      <top style="medium">
        <color indexed="64"/>
      </top>
      <bottom/>
      <diagonal/>
    </border>
    <border>
      <left/>
      <right style="dotted">
        <color theme="1"/>
      </right>
      <top/>
      <bottom/>
      <diagonal/>
    </border>
    <border>
      <left/>
      <right style="dotted">
        <color theme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theme="0" tint="-0.14990691854609822"/>
      </left>
      <right style="thin">
        <color indexed="64"/>
      </right>
      <top style="medium">
        <color indexed="64"/>
      </top>
      <bottom style="dotted">
        <color theme="0" tint="-0.1498764000366222"/>
      </bottom>
      <diagonal/>
    </border>
    <border>
      <left style="dotted">
        <color theme="0" tint="-0.14990691854609822"/>
      </left>
      <right style="thin">
        <color indexed="64"/>
      </right>
      <top style="dotted">
        <color theme="0" tint="-0.1498764000366222"/>
      </top>
      <bottom style="dotted">
        <color theme="0" tint="-0.14996795556505021"/>
      </bottom>
      <diagonal/>
    </border>
    <border>
      <left/>
      <right style="thin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thin">
        <color indexed="64"/>
      </right>
      <top style="dotted">
        <color theme="0" tint="-0.1499679555650502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theme="0" tint="-0.14996795556505021"/>
      </bottom>
      <diagonal/>
    </border>
    <border>
      <left/>
      <right style="medium">
        <color theme="1"/>
      </right>
      <top/>
      <bottom style="dotted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0" tint="-0.14996795556505021"/>
      </left>
      <right/>
      <top style="medium">
        <color indexed="64"/>
      </top>
      <bottom/>
      <diagonal/>
    </border>
    <border>
      <left style="dotted">
        <color theme="0" tint="-0.14996795556505021"/>
      </left>
      <right/>
      <top/>
      <bottom style="medium">
        <color indexed="64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theme="0" tint="-0.14996795556505021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/>
      <top style="medium">
        <color auto="1"/>
      </top>
      <bottom style="dotted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7">
    <xf numFmtId="0" fontId="0" fillId="0" borderId="0" xfId="0"/>
    <xf numFmtId="0" fontId="3" fillId="0" borderId="0" xfId="0" applyFont="1" applyAlignment="1">
      <alignment vertical="top" wrapText="1"/>
    </xf>
    <xf numFmtId="0" fontId="5" fillId="0" borderId="0" xfId="0" applyFont="1"/>
    <xf numFmtId="164" fontId="5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5" fontId="5" fillId="0" borderId="0" xfId="0" applyNumberFormat="1" applyFont="1"/>
    <xf numFmtId="16" fontId="0" fillId="0" borderId="2" xfId="0" applyNumberFormat="1" applyBorder="1"/>
    <xf numFmtId="0" fontId="0" fillId="0" borderId="2" xfId="0" applyFont="1" applyBorder="1" applyAlignment="1">
      <alignment horizontal="center"/>
    </xf>
    <xf numFmtId="0" fontId="5" fillId="0" borderId="2" xfId="0" applyFont="1" applyBorder="1"/>
    <xf numFmtId="165" fontId="5" fillId="0" borderId="2" xfId="0" applyNumberFormat="1" applyFont="1" applyBorder="1"/>
    <xf numFmtId="164" fontId="5" fillId="0" borderId="2" xfId="0" applyNumberFormat="1" applyFont="1" applyBorder="1"/>
    <xf numFmtId="16" fontId="0" fillId="0" borderId="9" xfId="0" applyNumberFormat="1" applyBorder="1"/>
    <xf numFmtId="0" fontId="0" fillId="0" borderId="9" xfId="0" applyFont="1" applyBorder="1" applyAlignment="1">
      <alignment horizontal="center"/>
    </xf>
    <xf numFmtId="0" fontId="5" fillId="0" borderId="9" xfId="0" applyFont="1" applyBorder="1"/>
    <xf numFmtId="165" fontId="5" fillId="0" borderId="9" xfId="0" applyNumberFormat="1" applyFont="1" applyBorder="1"/>
    <xf numFmtId="164" fontId="5" fillId="0" borderId="9" xfId="0" applyNumberFormat="1" applyFont="1" applyBorder="1"/>
    <xf numFmtId="2" fontId="5" fillId="0" borderId="9" xfId="0" applyNumberFormat="1" applyFont="1" applyBorder="1"/>
    <xf numFmtId="0" fontId="0" fillId="0" borderId="9" xfId="0" applyBorder="1"/>
    <xf numFmtId="0" fontId="3" fillId="0" borderId="1" xfId="0" applyFont="1" applyBorder="1" applyAlignment="1">
      <alignment horizontal="center"/>
    </xf>
    <xf numFmtId="164" fontId="5" fillId="0" borderId="3" xfId="0" applyNumberFormat="1" applyFont="1" applyBorder="1"/>
    <xf numFmtId="0" fontId="3" fillId="0" borderId="10" xfId="0" applyFont="1" applyBorder="1" applyAlignment="1">
      <alignment horizontal="center"/>
    </xf>
    <xf numFmtId="164" fontId="5" fillId="0" borderId="11" xfId="0" applyNumberFormat="1" applyFont="1" applyBorder="1"/>
    <xf numFmtId="0" fontId="3" fillId="0" borderId="4" xfId="0" applyFont="1" applyBorder="1" applyAlignment="1">
      <alignment horizontal="center"/>
    </xf>
    <xf numFmtId="0" fontId="0" fillId="0" borderId="5" xfId="0" applyBorder="1"/>
    <xf numFmtId="0" fontId="0" fillId="0" borderId="5" xfId="0" applyFont="1" applyBorder="1" applyAlignment="1">
      <alignment horizontal="center"/>
    </xf>
    <xf numFmtId="165" fontId="5" fillId="0" borderId="5" xfId="0" applyNumberFormat="1" applyFont="1" applyBorder="1"/>
    <xf numFmtId="0" fontId="5" fillId="0" borderId="5" xfId="0" applyFont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0" fontId="5" fillId="0" borderId="0" xfId="1" applyNumberFormat="1" applyFont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5" fillId="0" borderId="12" xfId="0" applyNumberFormat="1" applyFont="1" applyBorder="1"/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5" fillId="0" borderId="2" xfId="0" applyNumberFormat="1" applyFont="1" applyBorder="1"/>
    <xf numFmtId="165" fontId="5" fillId="0" borderId="3" xfId="0" applyNumberFormat="1" applyFont="1" applyBorder="1"/>
    <xf numFmtId="165" fontId="5" fillId="0" borderId="11" xfId="0" applyNumberFormat="1" applyFont="1" applyBorder="1"/>
    <xf numFmtId="165" fontId="5" fillId="0" borderId="6" xfId="0" applyNumberFormat="1" applyFont="1" applyBorder="1"/>
    <xf numFmtId="1" fontId="0" fillId="0" borderId="0" xfId="0" applyNumberFormat="1"/>
    <xf numFmtId="1" fontId="5" fillId="0" borderId="15" xfId="0" applyNumberFormat="1" applyFont="1" applyBorder="1"/>
    <xf numFmtId="1" fontId="5" fillId="0" borderId="17" xfId="0" applyNumberFormat="1" applyFont="1" applyBorder="1"/>
    <xf numFmtId="166" fontId="0" fillId="0" borderId="0" xfId="0" applyNumberFormat="1"/>
    <xf numFmtId="166" fontId="5" fillId="0" borderId="15" xfId="0" applyNumberFormat="1" applyFont="1" applyBorder="1"/>
    <xf numFmtId="166" fontId="5" fillId="0" borderId="17" xfId="0" applyNumberFormat="1" applyFont="1" applyBorder="1"/>
    <xf numFmtId="20" fontId="0" fillId="0" borderId="2" xfId="0" applyNumberFormat="1" applyFont="1" applyBorder="1" applyAlignment="1">
      <alignment horizontal="center"/>
    </xf>
    <xf numFmtId="20" fontId="0" fillId="0" borderId="9" xfId="0" applyNumberFormat="1" applyFont="1" applyBorder="1" applyAlignment="1">
      <alignment horizontal="center"/>
    </xf>
    <xf numFmtId="165" fontId="5" fillId="0" borderId="7" xfId="0" applyNumberFormat="1" applyFont="1" applyBorder="1"/>
    <xf numFmtId="165" fontId="5" fillId="0" borderId="8" xfId="0" applyNumberFormat="1" applyFont="1" applyBorder="1"/>
    <xf numFmtId="165" fontId="5" fillId="0" borderId="12" xfId="0" applyNumberFormat="1" applyFont="1" applyBorder="1"/>
    <xf numFmtId="20" fontId="0" fillId="0" borderId="2" xfId="0" applyNumberFormat="1" applyBorder="1"/>
    <xf numFmtId="20" fontId="0" fillId="0" borderId="9" xfId="0" applyNumberFormat="1" applyBorder="1"/>
    <xf numFmtId="167" fontId="5" fillId="0" borderId="20" xfId="1" applyNumberFormat="1" applyFont="1" applyBorder="1"/>
    <xf numFmtId="167" fontId="5" fillId="0" borderId="21" xfId="1" applyNumberFormat="1" applyFont="1" applyBorder="1"/>
    <xf numFmtId="167" fontId="5" fillId="0" borderId="22" xfId="1" applyNumberFormat="1" applyFont="1" applyBorder="1"/>
    <xf numFmtId="16" fontId="5" fillId="0" borderId="2" xfId="0" applyNumberFormat="1" applyFont="1" applyBorder="1"/>
    <xf numFmtId="16" fontId="5" fillId="0" borderId="9" xfId="0" applyNumberFormat="1" applyFont="1" applyBorder="1"/>
    <xf numFmtId="16" fontId="5" fillId="0" borderId="25" xfId="0" applyNumberFormat="1" applyFont="1" applyBorder="1"/>
    <xf numFmtId="166" fontId="5" fillId="0" borderId="16" xfId="0" applyNumberFormat="1" applyFont="1" applyBorder="1"/>
    <xf numFmtId="2" fontId="5" fillId="0" borderId="5" xfId="0" applyNumberFormat="1" applyFont="1" applyBorder="1"/>
    <xf numFmtId="1" fontId="5" fillId="0" borderId="16" xfId="0" applyNumberFormat="1" applyFont="1" applyBorder="1"/>
    <xf numFmtId="20" fontId="8" fillId="0" borderId="2" xfId="0" applyNumberFormat="1" applyFont="1" applyBorder="1" applyAlignment="1">
      <alignment horizontal="center"/>
    </xf>
    <xf numFmtId="20" fontId="8" fillId="0" borderId="9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8" fontId="0" fillId="0" borderId="0" xfId="0" applyNumberFormat="1"/>
    <xf numFmtId="168" fontId="5" fillId="0" borderId="0" xfId="0" applyNumberFormat="1" applyFont="1"/>
    <xf numFmtId="167" fontId="5" fillId="0" borderId="15" xfId="1" applyNumberFormat="1" applyFont="1" applyBorder="1"/>
    <xf numFmtId="16" fontId="5" fillId="0" borderId="26" xfId="0" applyNumberFormat="1" applyFont="1" applyBorder="1"/>
    <xf numFmtId="167" fontId="5" fillId="0" borderId="17" xfId="1" applyNumberFormat="1" applyFont="1" applyBorder="1"/>
    <xf numFmtId="16" fontId="5" fillId="0" borderId="27" xfId="0" applyNumberFormat="1" applyFont="1" applyBorder="1"/>
    <xf numFmtId="167" fontId="5" fillId="0" borderId="16" xfId="1" applyNumberFormat="1" applyFont="1" applyBorder="1"/>
    <xf numFmtId="16" fontId="5" fillId="0" borderId="28" xfId="0" applyNumberFormat="1" applyFont="1" applyBorder="1"/>
    <xf numFmtId="21" fontId="5" fillId="0" borderId="29" xfId="0" applyNumberFormat="1" applyFont="1" applyBorder="1"/>
    <xf numFmtId="21" fontId="5" fillId="0" borderId="30" xfId="0" applyNumberFormat="1" applyFont="1" applyBorder="1"/>
    <xf numFmtId="0" fontId="5" fillId="0" borderId="31" xfId="0" applyFont="1" applyBorder="1"/>
    <xf numFmtId="16" fontId="5" fillId="0" borderId="32" xfId="0" applyNumberFormat="1" applyFont="1" applyBorder="1"/>
    <xf numFmtId="21" fontId="5" fillId="0" borderId="20" xfId="0" applyNumberFormat="1" applyFont="1" applyBorder="1"/>
    <xf numFmtId="21" fontId="5" fillId="0" borderId="21" xfId="0" applyNumberFormat="1" applyFont="1" applyBorder="1"/>
    <xf numFmtId="169" fontId="5" fillId="0" borderId="33" xfId="0" applyNumberFormat="1" applyFont="1" applyBorder="1"/>
    <xf numFmtId="169" fontId="5" fillId="0" borderId="34" xfId="0" applyNumberFormat="1" applyFont="1" applyBorder="1"/>
    <xf numFmtId="169" fontId="5" fillId="0" borderId="35" xfId="0" applyNumberFormat="1" applyFont="1" applyBorder="1"/>
    <xf numFmtId="169" fontId="5" fillId="0" borderId="12" xfId="0" applyNumberFormat="1" applyFont="1" applyBorder="1"/>
    <xf numFmtId="169" fontId="5" fillId="0" borderId="5" xfId="0" applyNumberFormat="1" applyFont="1" applyBorder="1"/>
    <xf numFmtId="169" fontId="5" fillId="0" borderId="6" xfId="0" applyNumberFormat="1" applyFont="1" applyBorder="1"/>
    <xf numFmtId="170" fontId="5" fillId="0" borderId="36" xfId="1" applyNumberFormat="1" applyFont="1" applyBorder="1"/>
    <xf numFmtId="170" fontId="5" fillId="0" borderId="37" xfId="1" applyNumberFormat="1" applyFont="1" applyBorder="1"/>
    <xf numFmtId="170" fontId="5" fillId="0" borderId="0" xfId="1" applyNumberFormat="1" applyFont="1" applyBorder="1"/>
    <xf numFmtId="170" fontId="5" fillId="0" borderId="38" xfId="1" applyNumberFormat="1" applyFont="1" applyBorder="1"/>
    <xf numFmtId="1" fontId="5" fillId="0" borderId="0" xfId="1" applyNumberFormat="1" applyFont="1"/>
    <xf numFmtId="170" fontId="5" fillId="0" borderId="0" xfId="1" applyNumberFormat="1" applyFont="1"/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1" fontId="5" fillId="0" borderId="0" xfId="1" applyNumberFormat="1" applyFont="1"/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169" fontId="5" fillId="0" borderId="39" xfId="0" applyNumberFormat="1" applyFont="1" applyBorder="1"/>
    <xf numFmtId="169" fontId="5" fillId="0" borderId="40" xfId="0" applyNumberFormat="1" applyFont="1" applyBorder="1"/>
    <xf numFmtId="169" fontId="5" fillId="0" borderId="41" xfId="0" applyNumberFormat="1" applyFont="1" applyBorder="1"/>
    <xf numFmtId="16" fontId="5" fillId="0" borderId="27" xfId="0" applyNumberFormat="1" applyFont="1" applyBorder="1" applyAlignment="1">
      <alignment horizontal="right"/>
    </xf>
    <xf numFmtId="169" fontId="5" fillId="0" borderId="42" xfId="0" applyNumberFormat="1" applyFont="1" applyBorder="1"/>
    <xf numFmtId="169" fontId="5" fillId="0" borderId="43" xfId="0" applyNumberFormat="1" applyFont="1" applyBorder="1"/>
    <xf numFmtId="16" fontId="5" fillId="0" borderId="44" xfId="0" applyNumberFormat="1" applyFont="1" applyBorder="1" applyAlignment="1">
      <alignment horizontal="right"/>
    </xf>
    <xf numFmtId="169" fontId="5" fillId="0" borderId="45" xfId="0" applyNumberFormat="1" applyFont="1" applyBorder="1"/>
    <xf numFmtId="10" fontId="9" fillId="0" borderId="0" xfId="1" applyNumberFormat="1" applyFont="1"/>
    <xf numFmtId="170" fontId="5" fillId="0" borderId="48" xfId="1" applyNumberFormat="1" applyFont="1" applyBorder="1"/>
    <xf numFmtId="170" fontId="5" fillId="0" borderId="49" xfId="1" applyNumberFormat="1" applyFont="1" applyBorder="1"/>
    <xf numFmtId="0" fontId="11" fillId="0" borderId="50" xfId="0" applyFont="1" applyBorder="1" applyAlignment="1">
      <alignment horizontal="center"/>
    </xf>
    <xf numFmtId="0" fontId="0" fillId="0" borderId="51" xfId="0" applyBorder="1" applyAlignment="1">
      <alignment horizontal="center"/>
    </xf>
    <xf numFmtId="10" fontId="5" fillId="0" borderId="0" xfId="1" applyNumberFormat="1" applyFont="1" applyBorder="1"/>
    <xf numFmtId="1" fontId="5" fillId="0" borderId="40" xfId="1" applyNumberFormat="1" applyFont="1" applyBorder="1"/>
    <xf numFmtId="164" fontId="4" fillId="0" borderId="54" xfId="0" applyNumberFormat="1" applyFont="1" applyBorder="1" applyAlignment="1">
      <alignment horizontal="center" vertical="center" wrapText="1"/>
    </xf>
    <xf numFmtId="164" fontId="4" fillId="0" borderId="53" xfId="0" applyNumberFormat="1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6" xfId="0" applyBorder="1"/>
    <xf numFmtId="165" fontId="5" fillId="0" borderId="36" xfId="0" applyNumberFormat="1" applyFont="1" applyBorder="1"/>
    <xf numFmtId="0" fontId="5" fillId="0" borderId="36" xfId="0" applyFont="1" applyBorder="1"/>
    <xf numFmtId="10" fontId="5" fillId="0" borderId="36" xfId="1" applyNumberFormat="1" applyFont="1" applyBorder="1"/>
    <xf numFmtId="164" fontId="5" fillId="0" borderId="36" xfId="0" applyNumberFormat="1" applyFont="1" applyBorder="1"/>
    <xf numFmtId="169" fontId="5" fillId="0" borderId="36" xfId="0" applyNumberFormat="1" applyFont="1" applyBorder="1"/>
    <xf numFmtId="169" fontId="5" fillId="0" borderId="0" xfId="0" applyNumberFormat="1" applyFont="1" applyBorder="1"/>
    <xf numFmtId="16" fontId="5" fillId="0" borderId="57" xfId="0" applyNumberFormat="1" applyFont="1" applyBorder="1" applyAlignment="1">
      <alignment horizontal="right"/>
    </xf>
    <xf numFmtId="169" fontId="5" fillId="0" borderId="47" xfId="0" applyNumberFormat="1" applyFont="1" applyBorder="1"/>
    <xf numFmtId="164" fontId="4" fillId="2" borderId="4" xfId="0" applyNumberFormat="1" applyFont="1" applyFill="1" applyBorder="1" applyAlignment="1">
      <alignment horizontal="center" vertical="center" wrapText="1"/>
    </xf>
    <xf numFmtId="170" fontId="5" fillId="0" borderId="58" xfId="1" applyNumberFormat="1" applyFont="1" applyBorder="1"/>
    <xf numFmtId="170" fontId="5" fillId="0" borderId="59" xfId="1" applyNumberFormat="1" applyFont="1" applyBorder="1"/>
    <xf numFmtId="170" fontId="5" fillId="0" borderId="60" xfId="1" applyNumberFormat="1" applyFont="1" applyBorder="1"/>
    <xf numFmtId="164" fontId="5" fillId="0" borderId="10" xfId="0" applyNumberFormat="1" applyFont="1" applyBorder="1"/>
    <xf numFmtId="169" fontId="5" fillId="0" borderId="4" xfId="0" applyNumberFormat="1" applyFont="1" applyBorder="1"/>
    <xf numFmtId="170" fontId="12" fillId="0" borderId="0" xfId="1" applyNumberFormat="1" applyFont="1"/>
    <xf numFmtId="167" fontId="5" fillId="0" borderId="36" xfId="1" applyNumberFormat="1" applyFont="1" applyBorder="1"/>
    <xf numFmtId="167" fontId="5" fillId="0" borderId="0" xfId="1" applyNumberFormat="1" applyFont="1" applyBorder="1"/>
    <xf numFmtId="167" fontId="5" fillId="0" borderId="48" xfId="1" applyNumberFormat="1" applyFont="1" applyBorder="1"/>
    <xf numFmtId="170" fontId="5" fillId="0" borderId="8" xfId="1" applyNumberFormat="1" applyFont="1" applyBorder="1"/>
    <xf numFmtId="170" fontId="5" fillId="0" borderId="9" xfId="1" applyNumberFormat="1" applyFont="1" applyBorder="1"/>
    <xf numFmtId="170" fontId="5" fillId="0" borderId="11" xfId="1" applyNumberFormat="1" applyFont="1" applyBorder="1"/>
    <xf numFmtId="164" fontId="5" fillId="0" borderId="0" xfId="1" applyNumberFormat="1" applyFont="1"/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top"/>
    </xf>
    <xf numFmtId="164" fontId="2" fillId="4" borderId="2" xfId="0" applyNumberFormat="1" applyFont="1" applyFill="1" applyBorder="1" applyAlignment="1">
      <alignment horizontal="center" vertical="top"/>
    </xf>
    <xf numFmtId="164" fontId="2" fillId="4" borderId="3" xfId="0" applyNumberFormat="1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10" fontId="2" fillId="4" borderId="13" xfId="1" applyNumberFormat="1" applyFont="1" applyFill="1" applyBorder="1" applyAlignment="1">
      <alignment horizontal="center" vertical="center" wrapText="1"/>
    </xf>
    <xf numFmtId="10" fontId="2" fillId="4" borderId="14" xfId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top"/>
    </xf>
    <xf numFmtId="164" fontId="2" fillId="5" borderId="2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5" fontId="6" fillId="5" borderId="2" xfId="0" applyNumberFormat="1" applyFont="1" applyFill="1" applyBorder="1" applyAlignment="1">
      <alignment horizontal="center" vertical="center" wrapText="1"/>
    </xf>
    <xf numFmtId="165" fontId="6" fillId="5" borderId="5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64" fontId="3" fillId="0" borderId="50" xfId="0" applyNumberFormat="1" applyFont="1" applyBorder="1" applyAlignment="1">
      <alignment horizontal="left"/>
    </xf>
    <xf numFmtId="164" fontId="3" fillId="0" borderId="46" xfId="0" applyNumberFormat="1" applyFont="1" applyBorder="1" applyAlignment="1">
      <alignment horizontal="left"/>
    </xf>
    <xf numFmtId="164" fontId="3" fillId="0" borderId="52" xfId="0" applyNumberFormat="1" applyFont="1" applyBorder="1" applyAlignment="1">
      <alignment horizontal="left"/>
    </xf>
    <xf numFmtId="164" fontId="3" fillId="0" borderId="54" xfId="0" applyNumberFormat="1" applyFont="1" applyBorder="1" applyAlignment="1">
      <alignment horizontal="right" vertical="center" wrapText="1"/>
    </xf>
    <xf numFmtId="164" fontId="3" fillId="0" borderId="53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top" wrapText="1"/>
    </xf>
    <xf numFmtId="164" fontId="2" fillId="3" borderId="7" xfId="0" applyNumberFormat="1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center" vertical="top"/>
    </xf>
    <xf numFmtId="164" fontId="2" fillId="3" borderId="3" xfId="0" applyNumberFormat="1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top"/>
    </xf>
    <xf numFmtId="164" fontId="2" fillId="7" borderId="2" xfId="0" applyNumberFormat="1" applyFont="1" applyFill="1" applyBorder="1" applyAlignment="1">
      <alignment horizontal="center" vertical="top"/>
    </xf>
    <xf numFmtId="164" fontId="2" fillId="7" borderId="3" xfId="0" applyNumberFormat="1" applyFont="1" applyFill="1" applyBorder="1" applyAlignment="1">
      <alignment horizontal="center" vertical="top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55" xfId="0" applyFont="1" applyFill="1" applyBorder="1" applyAlignment="1">
      <alignment horizontal="center" vertical="center" wrapText="1"/>
    </xf>
    <xf numFmtId="0" fontId="2" fillId="7" borderId="5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65" fontId="6" fillId="7" borderId="2" xfId="0" applyNumberFormat="1" applyFont="1" applyFill="1" applyBorder="1" applyAlignment="1">
      <alignment horizontal="center" vertical="center" wrapText="1"/>
    </xf>
    <xf numFmtId="165" fontId="6" fillId="7" borderId="5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164" fontId="10" fillId="0" borderId="47" xfId="0" applyNumberFormat="1" applyFont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164" fontId="2" fillId="6" borderId="7" xfId="0" applyNumberFormat="1" applyFont="1" applyFill="1" applyBorder="1" applyAlignment="1">
      <alignment horizontal="center" vertical="top"/>
    </xf>
    <xf numFmtId="164" fontId="2" fillId="6" borderId="2" xfId="0" applyNumberFormat="1" applyFont="1" applyFill="1" applyBorder="1" applyAlignment="1">
      <alignment horizontal="center" vertical="top"/>
    </xf>
    <xf numFmtId="164" fontId="2" fillId="6" borderId="3" xfId="0" applyNumberFormat="1" applyFont="1" applyFill="1" applyBorder="1" applyAlignment="1">
      <alignment horizontal="center" vertical="top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65" fontId="6" fillId="6" borderId="5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18" xfId="0" applyNumberFormat="1" applyFont="1" applyFill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166" fontId="2" fillId="3" borderId="18" xfId="0" applyNumberFormat="1" applyFont="1" applyFill="1" applyBorder="1" applyAlignment="1">
      <alignment horizontal="center" vertical="center" wrapText="1"/>
    </xf>
    <xf numFmtId="166" fontId="2" fillId="3" borderId="19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47" xfId="0" applyFont="1" applyBorder="1" applyAlignment="1">
      <alignment horizontal="center"/>
    </xf>
    <xf numFmtId="0" fontId="0" fillId="0" borderId="47" xfId="0" applyBorder="1"/>
    <xf numFmtId="0" fontId="19" fillId="0" borderId="0" xfId="0" applyFont="1" applyAlignment="1">
      <alignment horizontal="center"/>
    </xf>
    <xf numFmtId="0" fontId="3" fillId="0" borderId="52" xfId="0" applyFont="1" applyBorder="1" applyAlignment="1">
      <alignment horizontal="right"/>
    </xf>
    <xf numFmtId="0" fontId="3" fillId="0" borderId="46" xfId="0" applyFont="1" applyBorder="1" applyAlignment="1">
      <alignment horizontal="center"/>
    </xf>
    <xf numFmtId="2" fontId="3" fillId="0" borderId="50" xfId="0" applyNumberFormat="1" applyFont="1" applyBorder="1" applyAlignment="1">
      <alignment horizontal="center"/>
    </xf>
    <xf numFmtId="0" fontId="4" fillId="0" borderId="40" xfId="0" applyFont="1" applyBorder="1"/>
    <xf numFmtId="169" fontId="20" fillId="0" borderId="0" xfId="0" applyNumberFormat="1" applyFont="1" applyAlignment="1">
      <alignment horizontal="center"/>
    </xf>
    <xf numFmtId="2" fontId="20" fillId="0" borderId="51" xfId="0" applyNumberFormat="1" applyFont="1" applyBorder="1" applyAlignment="1">
      <alignment horizontal="center"/>
    </xf>
    <xf numFmtId="169" fontId="21" fillId="0" borderId="0" xfId="0" applyNumberFormat="1" applyFont="1" applyAlignment="1">
      <alignment horizontal="center"/>
    </xf>
    <xf numFmtId="2" fontId="21" fillId="0" borderId="51" xfId="0" applyNumberFormat="1" applyFont="1" applyBorder="1" applyAlignment="1">
      <alignment horizontal="center"/>
    </xf>
    <xf numFmtId="0" fontId="4" fillId="0" borderId="40" xfId="0" applyFont="1" applyBorder="1" applyAlignment="1">
      <alignment horizontal="right"/>
    </xf>
    <xf numFmtId="165" fontId="20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0" fontId="22" fillId="0" borderId="0" xfId="0" applyFont="1"/>
    <xf numFmtId="0" fontId="3" fillId="0" borderId="0" xfId="0" applyFont="1" applyAlignment="1">
      <alignment horizontal="right"/>
    </xf>
    <xf numFmtId="11" fontId="5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11" fontId="3" fillId="0" borderId="0" xfId="0" applyNumberFormat="1" applyFont="1" applyAlignment="1">
      <alignment horizontal="center"/>
    </xf>
    <xf numFmtId="2" fontId="3" fillId="0" borderId="50" xfId="0" applyNumberFormat="1" applyFont="1" applyBorder="1" applyAlignment="1">
      <alignment horizontal="center" wrapText="1"/>
    </xf>
    <xf numFmtId="2" fontId="3" fillId="0" borderId="61" xfId="0" applyNumberFormat="1" applyFont="1" applyBorder="1" applyAlignment="1">
      <alignment horizontal="center" wrapText="1"/>
    </xf>
    <xf numFmtId="2" fontId="3" fillId="0" borderId="52" xfId="0" applyNumberFormat="1" applyFont="1" applyBorder="1" applyAlignment="1">
      <alignment horizontal="center" wrapText="1"/>
    </xf>
    <xf numFmtId="164" fontId="20" fillId="0" borderId="51" xfId="0" applyNumberFormat="1" applyFont="1" applyBorder="1" applyAlignment="1">
      <alignment horizontal="center"/>
    </xf>
    <xf numFmtId="2" fontId="20" fillId="0" borderId="62" xfId="0" applyNumberFormat="1" applyFont="1" applyBorder="1"/>
    <xf numFmtId="164" fontId="20" fillId="0" borderId="63" xfId="0" applyNumberFormat="1" applyFont="1" applyBorder="1" applyAlignment="1">
      <alignment horizontal="center"/>
    </xf>
    <xf numFmtId="164" fontId="21" fillId="0" borderId="51" xfId="0" applyNumberFormat="1" applyFont="1" applyBorder="1" applyAlignment="1">
      <alignment horizontal="center"/>
    </xf>
    <xf numFmtId="2" fontId="21" fillId="0" borderId="62" xfId="0" applyNumberFormat="1" applyFont="1" applyBorder="1"/>
    <xf numFmtId="164" fontId="21" fillId="0" borderId="63" xfId="0" applyNumberFormat="1" applyFont="1" applyBorder="1" applyAlignment="1">
      <alignment horizontal="center"/>
    </xf>
    <xf numFmtId="164" fontId="20" fillId="0" borderId="40" xfId="0" applyNumberFormat="1" applyFont="1" applyBorder="1" applyAlignment="1">
      <alignment horizontal="center"/>
    </xf>
    <xf numFmtId="164" fontId="21" fillId="0" borderId="40" xfId="0" applyNumberFormat="1" applyFont="1" applyBorder="1" applyAlignment="1">
      <alignment horizontal="center"/>
    </xf>
    <xf numFmtId="0" fontId="25" fillId="0" borderId="40" xfId="0" applyFont="1" applyBorder="1" applyAlignment="1">
      <alignment horizontal="right"/>
    </xf>
    <xf numFmtId="164" fontId="20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4" xfId="0" applyBorder="1"/>
    <xf numFmtId="0" fontId="3" fillId="0" borderId="65" xfId="0" applyFont="1" applyBorder="1" applyAlignment="1">
      <alignment horizontal="right"/>
    </xf>
    <xf numFmtId="168" fontId="28" fillId="0" borderId="66" xfId="0" applyNumberFormat="1" applyFont="1" applyBorder="1" applyAlignment="1">
      <alignment horizontal="center"/>
    </xf>
    <xf numFmtId="169" fontId="28" fillId="0" borderId="64" xfId="0" applyNumberFormat="1" applyFont="1" applyBorder="1" applyAlignment="1">
      <alignment horizontal="center"/>
    </xf>
    <xf numFmtId="168" fontId="29" fillId="0" borderId="64" xfId="0" applyNumberFormat="1" applyFont="1" applyBorder="1" applyAlignment="1">
      <alignment horizontal="center"/>
    </xf>
    <xf numFmtId="168" fontId="30" fillId="0" borderId="66" xfId="0" applyNumberFormat="1" applyFont="1" applyBorder="1" applyAlignment="1">
      <alignment horizontal="center"/>
    </xf>
    <xf numFmtId="169" fontId="30" fillId="0" borderId="64" xfId="0" applyNumberFormat="1" applyFont="1" applyBorder="1" applyAlignment="1">
      <alignment horizontal="center"/>
    </xf>
    <xf numFmtId="168" fontId="31" fillId="0" borderId="64" xfId="0" applyNumberFormat="1" applyFont="1" applyBorder="1" applyAlignment="1">
      <alignment horizontal="center"/>
    </xf>
    <xf numFmtId="0" fontId="3" fillId="0" borderId="41" xfId="0" applyFont="1" applyBorder="1" applyAlignment="1">
      <alignment horizontal="right"/>
    </xf>
    <xf numFmtId="168" fontId="28" fillId="0" borderId="47" xfId="0" applyNumberFormat="1" applyFont="1" applyBorder="1" applyAlignment="1">
      <alignment horizontal="center"/>
    </xf>
    <xf numFmtId="169" fontId="28" fillId="0" borderId="47" xfId="0" applyNumberFormat="1" applyFont="1" applyBorder="1" applyAlignment="1">
      <alignment horizontal="center"/>
    </xf>
    <xf numFmtId="168" fontId="29" fillId="0" borderId="47" xfId="0" applyNumberFormat="1" applyFont="1" applyBorder="1" applyAlignment="1">
      <alignment horizontal="center"/>
    </xf>
    <xf numFmtId="168" fontId="30" fillId="0" borderId="47" xfId="0" applyNumberFormat="1" applyFont="1" applyBorder="1" applyAlignment="1">
      <alignment horizontal="center"/>
    </xf>
    <xf numFmtId="169" fontId="30" fillId="0" borderId="47" xfId="0" applyNumberFormat="1" applyFont="1" applyBorder="1" applyAlignment="1">
      <alignment horizontal="center"/>
    </xf>
    <xf numFmtId="168" fontId="31" fillId="0" borderId="47" xfId="0" applyNumberFormat="1" applyFont="1" applyBorder="1" applyAlignment="1">
      <alignment horizontal="center"/>
    </xf>
    <xf numFmtId="0" fontId="3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-0.13401487314085739"/>
                  <c:y val="0.107174713080436"/>
                </c:manualLayout>
              </c:layout>
              <c:numFmt formatCode="General" sourceLinked="0"/>
            </c:trendlineLbl>
          </c:trendline>
          <c:xVal>
            <c:numRef>
              <c:f>Standards!$I$5:$I$13</c:f>
              <c:numCache>
                <c:formatCode>0.0</c:formatCode>
                <c:ptCount val="9"/>
                <c:pt idx="0">
                  <c:v>3249281.1</c:v>
                </c:pt>
                <c:pt idx="1">
                  <c:v>8867</c:v>
                </c:pt>
                <c:pt idx="2">
                  <c:v>3196531.5</c:v>
                </c:pt>
                <c:pt idx="3">
                  <c:v>6309893.7000000002</c:v>
                </c:pt>
                <c:pt idx="4">
                  <c:v>8659.1</c:v>
                </c:pt>
                <c:pt idx="5">
                  <c:v>889718.1</c:v>
                </c:pt>
                <c:pt idx="6">
                  <c:v>367730.4</c:v>
                </c:pt>
                <c:pt idx="7">
                  <c:v>1300802.7</c:v>
                </c:pt>
                <c:pt idx="8">
                  <c:v>3131534.9</c:v>
                </c:pt>
              </c:numCache>
            </c:numRef>
          </c:xVal>
          <c:yVal>
            <c:numRef>
              <c:f>Standards!$F$5:$F$13</c:f>
              <c:numCache>
                <c:formatCode>0.00</c:formatCode>
                <c:ptCount val="9"/>
                <c:pt idx="0">
                  <c:v>4.1399999999999997</c:v>
                </c:pt>
                <c:pt idx="1">
                  <c:v>0.2</c:v>
                </c:pt>
                <c:pt idx="2">
                  <c:v>4.12</c:v>
                </c:pt>
                <c:pt idx="3">
                  <c:v>8.4</c:v>
                </c:pt>
                <c:pt idx="4">
                  <c:v>0.06</c:v>
                </c:pt>
                <c:pt idx="5">
                  <c:v>0.91</c:v>
                </c:pt>
                <c:pt idx="6">
                  <c:v>0.56000000000000005</c:v>
                </c:pt>
                <c:pt idx="7">
                  <c:v>1.52</c:v>
                </c:pt>
                <c:pt idx="8">
                  <c:v>3.66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09-4D96-A5F3-241FD0522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489984"/>
        <c:axId val="99490560"/>
      </c:scatterChart>
      <c:valAx>
        <c:axId val="9948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Gamma CPM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99490560"/>
        <c:crosses val="autoZero"/>
        <c:crossBetween val="midCat"/>
      </c:valAx>
      <c:valAx>
        <c:axId val="994905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aseline="30000"/>
                  <a:t>131</a:t>
                </a:r>
                <a:r>
                  <a:rPr lang="en-US"/>
                  <a:t>I Activity (uCi)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994899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585787</xdr:colOff>
      <xdr:row>1</xdr:row>
      <xdr:rowOff>95249</xdr:rowOff>
    </xdr:from>
    <xdr:to>
      <xdr:col>20</xdr:col>
      <xdr:colOff>561975</xdr:colOff>
      <xdr:row>21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ke%20Files%20Backup\Chilkoti%20Lab\11.%20Synergistic%20Studies\5.%20Biodistribution\MIRD%20Dosimetry%20Analysis%20of%20Bi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RD Tissue Dosimetry"/>
      <sheetName val="MIRD Decay Schema"/>
    </sheetNames>
    <sheetDataSet>
      <sheetData sheetId="0"/>
      <sheetData sheetId="1">
        <row r="24">
          <cell r="E24">
            <v>0.40873499999999996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5"/>
  <sheetViews>
    <sheetView showGridLines="0" workbookViewId="0">
      <selection activeCell="V5" sqref="V5:V23"/>
    </sheetView>
  </sheetViews>
  <sheetFormatPr defaultRowHeight="15" x14ac:dyDescent="0.25"/>
  <cols>
    <col min="1" max="1" width="1.42578125" customWidth="1"/>
    <col min="2" max="2" width="9.140625" style="4"/>
    <col min="5" max="6" width="10.7109375" style="5" customWidth="1"/>
    <col min="7" max="7" width="10" customWidth="1"/>
    <col min="10" max="10" width="12.140625" style="6" customWidth="1"/>
    <col min="11" max="11" width="11.5703125" style="2" customWidth="1"/>
    <col min="12" max="14" width="11.5703125" style="32" customWidth="1"/>
    <col min="15" max="15" width="10" customWidth="1"/>
    <col min="16" max="28" width="10.28515625" style="3" customWidth="1"/>
  </cols>
  <sheetData>
    <row r="1" spans="2:28" ht="23.25" x14ac:dyDescent="0.35">
      <c r="B1" s="31" t="s">
        <v>18</v>
      </c>
    </row>
    <row r="2" spans="2:28" ht="11.25" customHeight="1" thickBot="1" x14ac:dyDescent="0.3">
      <c r="B2" s="30"/>
    </row>
    <row r="3" spans="2:28" ht="17.25" customHeight="1" x14ac:dyDescent="0.25">
      <c r="B3" s="144" t="s">
        <v>0</v>
      </c>
      <c r="C3" s="155" t="s">
        <v>33</v>
      </c>
      <c r="D3" s="157" t="s">
        <v>27</v>
      </c>
      <c r="E3" s="155" t="s">
        <v>15</v>
      </c>
      <c r="F3" s="153" t="s">
        <v>46</v>
      </c>
      <c r="G3" s="155" t="s">
        <v>29</v>
      </c>
      <c r="H3" s="155" t="s">
        <v>16</v>
      </c>
      <c r="I3" s="155" t="s">
        <v>34</v>
      </c>
      <c r="J3" s="153" t="s">
        <v>48</v>
      </c>
      <c r="K3" s="151" t="s">
        <v>17</v>
      </c>
      <c r="L3" s="146" t="s">
        <v>49</v>
      </c>
      <c r="M3" s="146" t="s">
        <v>32</v>
      </c>
      <c r="N3" s="146" t="s">
        <v>28</v>
      </c>
      <c r="O3" s="159" t="s">
        <v>40</v>
      </c>
      <c r="P3" s="148" t="s">
        <v>14</v>
      </c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50"/>
    </row>
    <row r="4" spans="2:28" s="1" customFormat="1" ht="27" customHeight="1" thickBot="1" x14ac:dyDescent="0.3">
      <c r="B4" s="145"/>
      <c r="C4" s="156"/>
      <c r="D4" s="158"/>
      <c r="E4" s="156"/>
      <c r="F4" s="154"/>
      <c r="G4" s="156"/>
      <c r="H4" s="156"/>
      <c r="I4" s="156"/>
      <c r="J4" s="154"/>
      <c r="K4" s="152"/>
      <c r="L4" s="147"/>
      <c r="M4" s="147"/>
      <c r="N4" s="147"/>
      <c r="O4" s="160"/>
      <c r="P4" s="36" t="s">
        <v>2</v>
      </c>
      <c r="Q4" s="37" t="s">
        <v>3</v>
      </c>
      <c r="R4" s="37" t="s">
        <v>4</v>
      </c>
      <c r="S4" s="37" t="s">
        <v>5</v>
      </c>
      <c r="T4" s="37" t="s">
        <v>6</v>
      </c>
      <c r="U4" s="37" t="s">
        <v>7</v>
      </c>
      <c r="V4" s="37" t="s">
        <v>45</v>
      </c>
      <c r="W4" s="37" t="s">
        <v>8</v>
      </c>
      <c r="X4" s="37" t="s">
        <v>9</v>
      </c>
      <c r="Y4" s="37" t="s">
        <v>10</v>
      </c>
      <c r="Z4" s="37" t="s">
        <v>11</v>
      </c>
      <c r="AA4" s="37" t="s">
        <v>12</v>
      </c>
      <c r="AB4" s="38" t="s">
        <v>13</v>
      </c>
    </row>
    <row r="5" spans="2:28" x14ac:dyDescent="0.25">
      <c r="B5" s="19">
        <v>11</v>
      </c>
      <c r="C5" s="7">
        <v>42650</v>
      </c>
      <c r="D5" s="55">
        <v>0.41666666666666669</v>
      </c>
      <c r="E5" s="8">
        <v>0</v>
      </c>
      <c r="F5" s="10">
        <v>267</v>
      </c>
      <c r="G5" s="7">
        <v>42650</v>
      </c>
      <c r="H5" s="9">
        <v>29.9</v>
      </c>
      <c r="I5" s="98" t="s">
        <v>35</v>
      </c>
      <c r="J5" s="10">
        <v>267</v>
      </c>
      <c r="K5" s="9">
        <v>189</v>
      </c>
      <c r="L5" s="71">
        <f t="shared" ref="L5:L23" si="0">K5/J5</f>
        <v>0.7078651685393258</v>
      </c>
      <c r="M5" s="72">
        <v>42659</v>
      </c>
      <c r="N5" s="77">
        <v>0.82314814814814818</v>
      </c>
      <c r="O5" s="106">
        <f t="shared" ref="O5:O23" si="1">(M5+N5)-(C5+D5)</f>
        <v>9.4064814814846613</v>
      </c>
      <c r="P5" s="33">
        <v>9.2600000000000002E-2</v>
      </c>
      <c r="Q5" s="11">
        <v>0.25169999999999998</v>
      </c>
      <c r="R5" s="11">
        <v>0.15429999999999999</v>
      </c>
      <c r="S5" s="11">
        <v>0.15890000000000001</v>
      </c>
      <c r="T5" s="11">
        <v>0.1779</v>
      </c>
      <c r="U5" s="11">
        <v>1.7863</v>
      </c>
      <c r="V5" s="11">
        <v>0.18540000000000001</v>
      </c>
      <c r="W5" s="11">
        <v>0.42299999999999999</v>
      </c>
      <c r="X5" s="11">
        <v>0.1694</v>
      </c>
      <c r="Y5" s="11">
        <v>0.52170000000000005</v>
      </c>
      <c r="Z5" s="11">
        <v>0.59</v>
      </c>
      <c r="AA5" s="11">
        <v>0.88049999999999995</v>
      </c>
      <c r="AB5" s="20">
        <v>2.1267999999999998</v>
      </c>
    </row>
    <row r="6" spans="2:28" x14ac:dyDescent="0.25">
      <c r="B6" s="21">
        <v>12</v>
      </c>
      <c r="C6" s="12">
        <v>42650</v>
      </c>
      <c r="D6" s="56">
        <v>0.43194444444444446</v>
      </c>
      <c r="E6" s="13">
        <v>0</v>
      </c>
      <c r="F6" s="15">
        <v>83</v>
      </c>
      <c r="G6" s="12">
        <v>42650</v>
      </c>
      <c r="H6" s="14">
        <v>26.9</v>
      </c>
      <c r="I6" s="99" t="s">
        <v>35</v>
      </c>
      <c r="J6" s="15">
        <v>83</v>
      </c>
      <c r="K6" s="14">
        <v>8.1999999999999993</v>
      </c>
      <c r="L6" s="73">
        <f t="shared" si="0"/>
        <v>9.8795180722891562E-2</v>
      </c>
      <c r="M6" s="74">
        <v>42659</v>
      </c>
      <c r="N6" s="78">
        <v>0.82731481481481473</v>
      </c>
      <c r="O6" s="107">
        <f t="shared" si="1"/>
        <v>9.3953703703737119</v>
      </c>
      <c r="P6" s="34">
        <v>0.1084</v>
      </c>
      <c r="Q6" s="16">
        <v>0.3009</v>
      </c>
      <c r="R6" s="16">
        <v>0.15160000000000001</v>
      </c>
      <c r="S6" s="16">
        <v>0.17430000000000001</v>
      </c>
      <c r="T6" s="16">
        <v>0.1736</v>
      </c>
      <c r="U6" s="16">
        <v>1.3765000000000001</v>
      </c>
      <c r="V6" s="16">
        <v>0.1293</v>
      </c>
      <c r="W6" s="16">
        <v>0.1608</v>
      </c>
      <c r="X6" s="16">
        <v>0.1116</v>
      </c>
      <c r="Y6" s="16">
        <v>0.76980000000000004</v>
      </c>
      <c r="Z6" s="16">
        <v>0.65149999999999997</v>
      </c>
      <c r="AA6" s="16">
        <v>0.70099999999999996</v>
      </c>
      <c r="AB6" s="22">
        <v>1.7699</v>
      </c>
    </row>
    <row r="7" spans="2:28" x14ac:dyDescent="0.25">
      <c r="B7" s="21">
        <v>13</v>
      </c>
      <c r="C7" s="12">
        <v>42650</v>
      </c>
      <c r="D7" s="56">
        <v>0.45</v>
      </c>
      <c r="E7" s="13">
        <v>0</v>
      </c>
      <c r="F7" s="15">
        <v>16.2</v>
      </c>
      <c r="G7" s="12">
        <v>42650</v>
      </c>
      <c r="H7" s="14">
        <v>38.799999999999997</v>
      </c>
      <c r="I7" s="99" t="s">
        <v>35</v>
      </c>
      <c r="J7" s="15">
        <v>16.2</v>
      </c>
      <c r="K7" s="14">
        <v>7.9</v>
      </c>
      <c r="L7" s="73">
        <f t="shared" si="0"/>
        <v>0.48765432098765438</v>
      </c>
      <c r="M7" s="74">
        <v>42659</v>
      </c>
      <c r="N7" s="78">
        <v>0.83148148148148149</v>
      </c>
      <c r="O7" s="107">
        <f t="shared" si="1"/>
        <v>9.3814814814832062</v>
      </c>
      <c r="P7" s="34">
        <v>0.11020000000000001</v>
      </c>
      <c r="Q7" s="16">
        <v>0.26169999999999999</v>
      </c>
      <c r="R7" s="16">
        <v>0.25469999999999998</v>
      </c>
      <c r="S7" s="16">
        <v>0.26279999999999998</v>
      </c>
      <c r="T7" s="16">
        <v>0.20979999999999999</v>
      </c>
      <c r="U7" s="16">
        <v>2.1793999999999998</v>
      </c>
      <c r="V7" s="16">
        <v>8.5800000000000001E-2</v>
      </c>
      <c r="W7" s="16">
        <v>0.13370000000000001</v>
      </c>
      <c r="X7" s="16">
        <v>0.1484</v>
      </c>
      <c r="Y7" s="16">
        <v>1.1717</v>
      </c>
      <c r="Z7" s="16">
        <v>0.75009999999999999</v>
      </c>
      <c r="AA7" s="16">
        <v>0.78790000000000004</v>
      </c>
      <c r="AB7" s="22">
        <v>1.7699</v>
      </c>
    </row>
    <row r="8" spans="2:28" x14ac:dyDescent="0.25">
      <c r="B8" s="21">
        <v>14</v>
      </c>
      <c r="C8" s="12">
        <v>42650</v>
      </c>
      <c r="D8" s="56">
        <v>0.46249999999999997</v>
      </c>
      <c r="E8" s="13">
        <v>0</v>
      </c>
      <c r="F8" s="15">
        <v>26.9</v>
      </c>
      <c r="G8" s="12">
        <v>42650</v>
      </c>
      <c r="H8" s="14">
        <v>30.3</v>
      </c>
      <c r="I8" s="99" t="s">
        <v>35</v>
      </c>
      <c r="J8" s="15">
        <v>26.9</v>
      </c>
      <c r="K8" s="14">
        <v>12.3</v>
      </c>
      <c r="L8" s="73">
        <f t="shared" si="0"/>
        <v>0.45724907063197029</v>
      </c>
      <c r="M8" s="74">
        <v>42659</v>
      </c>
      <c r="N8" s="78">
        <v>0.83564814814814825</v>
      </c>
      <c r="O8" s="107">
        <f t="shared" si="1"/>
        <v>9.3731481481445371</v>
      </c>
      <c r="P8" s="34">
        <v>0.1105</v>
      </c>
      <c r="Q8" s="16">
        <v>0.28570000000000001</v>
      </c>
      <c r="R8" s="16">
        <v>0.2636</v>
      </c>
      <c r="S8" s="16">
        <v>0.13270000000000001</v>
      </c>
      <c r="T8" s="16">
        <v>0.16539999999999999</v>
      </c>
      <c r="U8" s="16">
        <v>1.3520000000000001</v>
      </c>
      <c r="V8" s="16">
        <v>0.12939999999999999</v>
      </c>
      <c r="W8" s="16">
        <v>0.16039999999999999</v>
      </c>
      <c r="X8" s="16">
        <v>0.12939999999999999</v>
      </c>
      <c r="Y8" s="16">
        <v>0.70020000000000004</v>
      </c>
      <c r="Z8" s="16">
        <v>0.64100000000000001</v>
      </c>
      <c r="AA8" s="16">
        <v>0.56120000000000003</v>
      </c>
      <c r="AB8" s="22">
        <v>2.3822999999999999</v>
      </c>
    </row>
    <row r="9" spans="2:28" x14ac:dyDescent="0.25">
      <c r="B9" s="21">
        <v>22</v>
      </c>
      <c r="C9" s="12">
        <v>42650</v>
      </c>
      <c r="D9" s="56">
        <v>0.48541666666666666</v>
      </c>
      <c r="E9" s="13">
        <v>48</v>
      </c>
      <c r="F9" s="15">
        <v>10</v>
      </c>
      <c r="G9" s="12">
        <v>42652</v>
      </c>
      <c r="H9" s="14">
        <v>30.8</v>
      </c>
      <c r="I9" s="99" t="s">
        <v>36</v>
      </c>
      <c r="J9" s="15">
        <v>2</v>
      </c>
      <c r="K9" s="14">
        <v>1.1000000000000001</v>
      </c>
      <c r="L9" s="73">
        <f t="shared" si="0"/>
        <v>0.55000000000000004</v>
      </c>
      <c r="M9" s="74">
        <v>42659</v>
      </c>
      <c r="N9" s="78">
        <v>0.93465277777777767</v>
      </c>
      <c r="O9" s="107">
        <f t="shared" si="1"/>
        <v>9.4492361111042555</v>
      </c>
      <c r="P9" s="34">
        <v>5.8500000000000003E-2</v>
      </c>
      <c r="Q9" s="16">
        <v>0.21659999999999999</v>
      </c>
      <c r="R9" s="16">
        <v>0.1137</v>
      </c>
      <c r="S9" s="16">
        <v>0.2056</v>
      </c>
      <c r="T9" s="16">
        <v>0.1983</v>
      </c>
      <c r="U9" s="16">
        <v>1.6</v>
      </c>
      <c r="V9" s="16">
        <v>7.0099999999999996E-2</v>
      </c>
      <c r="W9" s="16">
        <v>0.19739999999999999</v>
      </c>
      <c r="X9" s="16">
        <v>9.3799999999999994E-2</v>
      </c>
      <c r="Y9" s="16">
        <v>1.1306</v>
      </c>
      <c r="Z9" s="16">
        <v>0.50749999999999995</v>
      </c>
      <c r="AA9" s="16">
        <v>0.71250000000000002</v>
      </c>
      <c r="AB9" s="22">
        <v>2.3871000000000002</v>
      </c>
    </row>
    <row r="10" spans="2:28" x14ac:dyDescent="0.25">
      <c r="B10" s="21">
        <v>23</v>
      </c>
      <c r="C10" s="12">
        <v>42650</v>
      </c>
      <c r="D10" s="56">
        <v>0.49652777777777773</v>
      </c>
      <c r="E10" s="13">
        <v>72</v>
      </c>
      <c r="F10" s="15">
        <v>16.2</v>
      </c>
      <c r="G10" s="12">
        <v>42653</v>
      </c>
      <c r="H10" s="14">
        <v>28.2</v>
      </c>
      <c r="I10" s="99" t="s">
        <v>36</v>
      </c>
      <c r="J10" s="15">
        <v>2.2200000000000002</v>
      </c>
      <c r="K10" s="14">
        <v>0.33</v>
      </c>
      <c r="L10" s="73">
        <f t="shared" si="0"/>
        <v>0.14864864864864863</v>
      </c>
      <c r="M10" s="74">
        <v>42659</v>
      </c>
      <c r="N10" s="78">
        <v>0.97086805555555555</v>
      </c>
      <c r="O10" s="107">
        <f t="shared" si="1"/>
        <v>9.4743402777748997</v>
      </c>
      <c r="P10" s="34">
        <v>2.52E-2</v>
      </c>
      <c r="Q10" s="16">
        <v>0.29139999999999999</v>
      </c>
      <c r="R10" s="16">
        <v>0.1014</v>
      </c>
      <c r="S10" s="16">
        <v>0.17899999999999999</v>
      </c>
      <c r="T10" s="16">
        <v>0.12479999999999999</v>
      </c>
      <c r="U10" s="16">
        <v>1.5244</v>
      </c>
      <c r="V10" s="16">
        <v>6.9000000000000006E-2</v>
      </c>
      <c r="W10" s="16">
        <v>0.56369999999999998</v>
      </c>
      <c r="X10" s="16">
        <v>0.3679</v>
      </c>
      <c r="Y10" s="16">
        <v>1.3414999999999999</v>
      </c>
      <c r="Z10" s="16">
        <v>0.52690000000000003</v>
      </c>
      <c r="AA10" s="16">
        <v>0.43630000000000002</v>
      </c>
      <c r="AB10" s="22">
        <v>1.2041999999999999</v>
      </c>
    </row>
    <row r="11" spans="2:28" x14ac:dyDescent="0.25">
      <c r="B11" s="21">
        <v>24</v>
      </c>
      <c r="C11" s="12">
        <v>42650</v>
      </c>
      <c r="D11" s="56">
        <v>0.50972222222222219</v>
      </c>
      <c r="E11" s="13">
        <v>48</v>
      </c>
      <c r="F11" s="15">
        <v>69</v>
      </c>
      <c r="G11" s="12">
        <v>42652</v>
      </c>
      <c r="H11" s="14">
        <v>27.8</v>
      </c>
      <c r="I11" s="99" t="s">
        <v>35</v>
      </c>
      <c r="J11" s="15">
        <v>46.7</v>
      </c>
      <c r="K11" s="14">
        <v>45</v>
      </c>
      <c r="L11" s="73">
        <f t="shared" si="0"/>
        <v>0.9635974304068522</v>
      </c>
      <c r="M11" s="74">
        <v>42659</v>
      </c>
      <c r="N11" s="78">
        <v>0.93881944444444443</v>
      </c>
      <c r="O11" s="107">
        <f t="shared" si="1"/>
        <v>9.4290972222224809</v>
      </c>
      <c r="P11" s="34">
        <v>0.11559999999999999</v>
      </c>
      <c r="Q11" s="16">
        <v>0.30559999999999998</v>
      </c>
      <c r="R11" s="16">
        <v>0.18779999999999999</v>
      </c>
      <c r="S11" s="16">
        <v>0.1885</v>
      </c>
      <c r="T11" s="16">
        <v>0.14910000000000001</v>
      </c>
      <c r="U11" s="16">
        <v>1.4836</v>
      </c>
      <c r="V11" s="16">
        <v>6.8000000000000005E-2</v>
      </c>
      <c r="W11" s="16">
        <v>0.31809999999999999</v>
      </c>
      <c r="X11" s="16">
        <v>0.1772</v>
      </c>
      <c r="Y11" s="16">
        <v>0.37140000000000001</v>
      </c>
      <c r="Z11" s="16">
        <v>0.54139999999999999</v>
      </c>
      <c r="AA11" s="16">
        <v>0.45829999999999999</v>
      </c>
      <c r="AB11" s="22">
        <v>1.1469</v>
      </c>
    </row>
    <row r="12" spans="2:28" x14ac:dyDescent="0.25">
      <c r="B12" s="21">
        <v>25</v>
      </c>
      <c r="C12" s="12">
        <v>42650</v>
      </c>
      <c r="D12" s="56">
        <v>0.52013888888888882</v>
      </c>
      <c r="E12" s="13">
        <v>48</v>
      </c>
      <c r="F12" s="17">
        <v>1.1000000000000001</v>
      </c>
      <c r="G12" s="12">
        <v>42652</v>
      </c>
      <c r="H12" s="14">
        <v>29.1</v>
      </c>
      <c r="I12" s="99" t="s">
        <v>36</v>
      </c>
      <c r="J12" s="17">
        <v>0.22</v>
      </c>
      <c r="K12" s="14">
        <v>0.19</v>
      </c>
      <c r="L12" s="73">
        <f t="shared" si="0"/>
        <v>0.86363636363636365</v>
      </c>
      <c r="M12" s="74">
        <v>42659</v>
      </c>
      <c r="N12" s="78">
        <v>0.94298611111111119</v>
      </c>
      <c r="O12" s="107">
        <f t="shared" si="1"/>
        <v>9.4228472222239361</v>
      </c>
      <c r="P12" s="34">
        <v>9.9000000000000005E-2</v>
      </c>
      <c r="Q12" s="16">
        <v>0.30759999999999998</v>
      </c>
      <c r="R12" s="16">
        <v>0.1338</v>
      </c>
      <c r="S12" s="16">
        <v>0.1784</v>
      </c>
      <c r="T12" s="16">
        <v>0.1749</v>
      </c>
      <c r="U12" s="16">
        <v>1.5982000000000001</v>
      </c>
      <c r="V12" s="16">
        <v>0.1022</v>
      </c>
      <c r="W12" s="16">
        <v>0.1318</v>
      </c>
      <c r="X12" s="16">
        <v>0.13320000000000001</v>
      </c>
      <c r="Y12" s="16">
        <v>0.74060000000000004</v>
      </c>
      <c r="Z12" s="16">
        <v>0.49840000000000001</v>
      </c>
      <c r="AA12" s="16">
        <v>0.56240000000000001</v>
      </c>
      <c r="AB12" s="22">
        <v>2.1705000000000001</v>
      </c>
    </row>
    <row r="13" spans="2:28" x14ac:dyDescent="0.25">
      <c r="B13" s="21">
        <v>31</v>
      </c>
      <c r="C13" s="12">
        <v>42650</v>
      </c>
      <c r="D13" s="56">
        <v>0.52986111111111112</v>
      </c>
      <c r="E13" s="13">
        <v>48</v>
      </c>
      <c r="F13" s="15">
        <v>115.8</v>
      </c>
      <c r="G13" s="12">
        <v>42652</v>
      </c>
      <c r="H13" s="14">
        <v>27.5</v>
      </c>
      <c r="I13" s="99" t="s">
        <v>35</v>
      </c>
      <c r="J13" s="15">
        <v>90</v>
      </c>
      <c r="K13" s="14">
        <v>89</v>
      </c>
      <c r="L13" s="73">
        <f t="shared" si="0"/>
        <v>0.98888888888888893</v>
      </c>
      <c r="M13" s="74">
        <v>42659</v>
      </c>
      <c r="N13" s="78">
        <v>0.94715277777777773</v>
      </c>
      <c r="O13" s="107">
        <f t="shared" si="1"/>
        <v>9.4172916666648234</v>
      </c>
      <c r="P13" s="34">
        <v>0.20699999999999999</v>
      </c>
      <c r="Q13" s="16">
        <v>0.2258</v>
      </c>
      <c r="R13" s="16">
        <v>9.2100000000000001E-2</v>
      </c>
      <c r="S13" s="16">
        <v>0.21429999999999999</v>
      </c>
      <c r="T13" s="16">
        <v>0.17</v>
      </c>
      <c r="U13" s="16">
        <v>1.4475</v>
      </c>
      <c r="V13" s="16">
        <v>0.1237</v>
      </c>
      <c r="W13" s="16">
        <v>0.1867</v>
      </c>
      <c r="X13" s="16">
        <v>0.29399999999999998</v>
      </c>
      <c r="Y13" s="16">
        <v>0.92210000000000003</v>
      </c>
      <c r="Z13" s="16">
        <v>0.52300000000000002</v>
      </c>
      <c r="AA13" s="16">
        <v>0.53549999999999998</v>
      </c>
      <c r="AB13" s="22">
        <v>1.0170999999999999</v>
      </c>
    </row>
    <row r="14" spans="2:28" x14ac:dyDescent="0.25">
      <c r="B14" s="21">
        <v>33</v>
      </c>
      <c r="C14" s="12">
        <v>42650</v>
      </c>
      <c r="D14" s="56">
        <v>0.55208333333333337</v>
      </c>
      <c r="E14" s="13">
        <v>216</v>
      </c>
      <c r="F14" s="15">
        <v>229</v>
      </c>
      <c r="G14" s="12">
        <v>42659</v>
      </c>
      <c r="H14" s="18">
        <v>28.7</v>
      </c>
      <c r="I14" s="100" t="s">
        <v>35</v>
      </c>
      <c r="J14" s="15">
        <v>84</v>
      </c>
      <c r="K14" s="14">
        <v>90</v>
      </c>
      <c r="L14" s="73">
        <f t="shared" si="0"/>
        <v>1.0714285714285714</v>
      </c>
      <c r="M14" s="74">
        <v>42660</v>
      </c>
      <c r="N14" s="78">
        <v>3.6574074074074074E-3</v>
      </c>
      <c r="O14" s="107">
        <f t="shared" si="1"/>
        <v>9.4515740740680485</v>
      </c>
      <c r="P14" s="34">
        <v>6.8400000000000002E-2</v>
      </c>
      <c r="Q14" s="16">
        <v>0.18279999999999999</v>
      </c>
      <c r="R14" s="16">
        <v>0.12690000000000001</v>
      </c>
      <c r="S14" s="16">
        <v>0.18890000000000001</v>
      </c>
      <c r="T14" s="16">
        <v>0.2044</v>
      </c>
      <c r="U14" s="16">
        <v>1.7878000000000001</v>
      </c>
      <c r="V14" s="16">
        <v>8.9300000000000004E-2</v>
      </c>
      <c r="W14" s="16">
        <v>0.35199999999999998</v>
      </c>
      <c r="X14" s="16">
        <v>0.1113</v>
      </c>
      <c r="Y14" s="16">
        <v>0.40010000000000001</v>
      </c>
      <c r="Z14" s="16">
        <v>0.52600000000000002</v>
      </c>
      <c r="AA14" s="16">
        <v>0.56320000000000003</v>
      </c>
      <c r="AB14" s="22">
        <v>1.0165</v>
      </c>
    </row>
    <row r="15" spans="2:28" x14ac:dyDescent="0.25">
      <c r="B15" s="21">
        <v>34</v>
      </c>
      <c r="C15" s="12">
        <v>42650</v>
      </c>
      <c r="D15" s="56">
        <v>0.56388888888888888</v>
      </c>
      <c r="E15" s="13">
        <v>216</v>
      </c>
      <c r="F15" s="15">
        <v>187.4</v>
      </c>
      <c r="G15" s="12">
        <v>42659</v>
      </c>
      <c r="H15" s="18">
        <v>28.3</v>
      </c>
      <c r="I15" s="100" t="s">
        <v>35</v>
      </c>
      <c r="J15" s="15">
        <v>54</v>
      </c>
      <c r="K15" s="14">
        <v>52</v>
      </c>
      <c r="L15" s="73">
        <f t="shared" si="0"/>
        <v>0.96296296296296291</v>
      </c>
      <c r="M15" s="74">
        <v>42660</v>
      </c>
      <c r="N15" s="78">
        <v>7.8240740740740753E-3</v>
      </c>
      <c r="O15" s="107">
        <f t="shared" si="1"/>
        <v>9.4439351851906395</v>
      </c>
      <c r="P15" s="34">
        <v>6.5799999999999997E-2</v>
      </c>
      <c r="Q15" s="16">
        <v>0.32290000000000002</v>
      </c>
      <c r="R15" s="16">
        <v>0.13769999999999999</v>
      </c>
      <c r="S15" s="16">
        <v>0.1691</v>
      </c>
      <c r="T15" s="16">
        <v>0.2185</v>
      </c>
      <c r="U15" s="16">
        <v>1.4994000000000001</v>
      </c>
      <c r="V15" s="16">
        <v>9.4E-2</v>
      </c>
      <c r="W15" s="16">
        <v>0.4461</v>
      </c>
      <c r="X15" s="16">
        <v>0.12709999999999999</v>
      </c>
      <c r="Y15" s="16">
        <v>0.47799999999999998</v>
      </c>
      <c r="Z15" s="16">
        <v>0.56589999999999996</v>
      </c>
      <c r="AA15" s="16">
        <v>0.78480000000000005</v>
      </c>
      <c r="AB15" s="22">
        <v>1.1803999999999999</v>
      </c>
    </row>
    <row r="16" spans="2:28" x14ac:dyDescent="0.25">
      <c r="B16" s="21">
        <v>35</v>
      </c>
      <c r="C16" s="12">
        <v>42650</v>
      </c>
      <c r="D16" s="56">
        <v>0.57777777777777783</v>
      </c>
      <c r="E16" s="13">
        <v>216</v>
      </c>
      <c r="F16" s="15">
        <v>430</v>
      </c>
      <c r="G16" s="12">
        <v>42659</v>
      </c>
      <c r="H16" s="18">
        <v>30.2</v>
      </c>
      <c r="I16" s="100" t="s">
        <v>35</v>
      </c>
      <c r="J16" s="15">
        <v>170</v>
      </c>
      <c r="K16" s="14">
        <v>173</v>
      </c>
      <c r="L16" s="73">
        <f t="shared" si="0"/>
        <v>1.0176470588235293</v>
      </c>
      <c r="M16" s="74">
        <v>42660</v>
      </c>
      <c r="N16" s="78">
        <v>1.1990740740740739E-2</v>
      </c>
      <c r="O16" s="107">
        <f t="shared" si="1"/>
        <v>9.4342129629658302</v>
      </c>
      <c r="P16" s="34">
        <v>0.18210000000000001</v>
      </c>
      <c r="Q16" s="16">
        <v>0.37830000000000003</v>
      </c>
      <c r="R16" s="16">
        <v>0.185</v>
      </c>
      <c r="S16" s="16">
        <v>0.19919999999999999</v>
      </c>
      <c r="T16" s="16">
        <v>0.18490000000000001</v>
      </c>
      <c r="U16" s="16">
        <v>1.8935</v>
      </c>
      <c r="V16" s="16">
        <v>0.12670000000000001</v>
      </c>
      <c r="W16" s="16">
        <v>1.4983</v>
      </c>
      <c r="X16" s="16">
        <v>0.223</v>
      </c>
      <c r="Y16" s="16">
        <v>0.4929</v>
      </c>
      <c r="Z16" s="16">
        <v>0.57699999999999996</v>
      </c>
      <c r="AA16" s="16">
        <v>0.3926</v>
      </c>
      <c r="AB16" s="22">
        <v>1.4140999999999999</v>
      </c>
    </row>
    <row r="17" spans="2:28" x14ac:dyDescent="0.25">
      <c r="B17" s="21">
        <v>41</v>
      </c>
      <c r="C17" s="12">
        <v>42650</v>
      </c>
      <c r="D17" s="56">
        <v>0.60138888888888886</v>
      </c>
      <c r="E17" s="13">
        <v>24</v>
      </c>
      <c r="F17" s="15">
        <v>103.7</v>
      </c>
      <c r="G17" s="12">
        <v>42651</v>
      </c>
      <c r="H17" s="14">
        <v>31.1</v>
      </c>
      <c r="I17" s="99" t="s">
        <v>35</v>
      </c>
      <c r="J17" s="15">
        <v>92.9</v>
      </c>
      <c r="K17" s="14">
        <v>80</v>
      </c>
      <c r="L17" s="73">
        <f t="shared" si="0"/>
        <v>0.86114101184068881</v>
      </c>
      <c r="M17" s="74">
        <v>42659</v>
      </c>
      <c r="N17" s="78">
        <v>0.89684027777777775</v>
      </c>
      <c r="O17" s="107">
        <f t="shared" si="1"/>
        <v>9.2954513888835208</v>
      </c>
      <c r="P17" s="34">
        <v>5.16E-2</v>
      </c>
      <c r="Q17" s="16">
        <v>0.27460000000000001</v>
      </c>
      <c r="R17" s="16">
        <v>0.1368</v>
      </c>
      <c r="S17" s="16">
        <v>0.20810000000000001</v>
      </c>
      <c r="T17" s="16">
        <v>0.221</v>
      </c>
      <c r="U17" s="16">
        <v>1.5789</v>
      </c>
      <c r="V17" s="16">
        <v>5.1299999999999998E-2</v>
      </c>
      <c r="W17" s="16">
        <v>0.12239999999999999</v>
      </c>
      <c r="X17" s="16">
        <v>0.15129999999999999</v>
      </c>
      <c r="Y17" s="16">
        <v>0.37959999999999999</v>
      </c>
      <c r="Z17" s="16">
        <v>0.60829999999999995</v>
      </c>
      <c r="AA17" s="16">
        <v>0.29110000000000003</v>
      </c>
      <c r="AB17" s="22">
        <v>1.071</v>
      </c>
    </row>
    <row r="18" spans="2:28" x14ac:dyDescent="0.25">
      <c r="B18" s="21">
        <v>42</v>
      </c>
      <c r="C18" s="12">
        <v>42650</v>
      </c>
      <c r="D18" s="56">
        <v>0.61388888888888882</v>
      </c>
      <c r="E18" s="13">
        <v>24</v>
      </c>
      <c r="F18" s="15">
        <v>33.700000000000003</v>
      </c>
      <c r="G18" s="12">
        <v>42651</v>
      </c>
      <c r="H18" s="14">
        <v>29.6</v>
      </c>
      <c r="I18" s="99" t="s">
        <v>35</v>
      </c>
      <c r="J18" s="15">
        <v>21.7</v>
      </c>
      <c r="K18" s="14">
        <v>16.600000000000001</v>
      </c>
      <c r="L18" s="73">
        <f t="shared" si="0"/>
        <v>0.76497695852534575</v>
      </c>
      <c r="M18" s="74">
        <v>42659</v>
      </c>
      <c r="N18" s="78">
        <v>0.90100694444444451</v>
      </c>
      <c r="O18" s="107">
        <f t="shared" si="1"/>
        <v>9.2871180555521278</v>
      </c>
      <c r="P18" s="34">
        <v>5.3699999999999998E-2</v>
      </c>
      <c r="Q18" s="16">
        <v>0.33339999999999997</v>
      </c>
      <c r="R18" s="16">
        <v>0.21129999999999999</v>
      </c>
      <c r="S18" s="16">
        <v>0.19839999999999999</v>
      </c>
      <c r="T18" s="16">
        <v>0.218</v>
      </c>
      <c r="U18" s="16">
        <v>1.8171999999999999</v>
      </c>
      <c r="V18" s="16">
        <v>0.16520000000000001</v>
      </c>
      <c r="W18" s="16">
        <v>8.1500000000000003E-2</v>
      </c>
      <c r="X18" s="16">
        <v>0.11890000000000001</v>
      </c>
      <c r="Y18" s="16">
        <v>0.59840000000000004</v>
      </c>
      <c r="Z18" s="16">
        <v>0.40699999999999997</v>
      </c>
      <c r="AA18" s="16">
        <v>0.25669999999999998</v>
      </c>
      <c r="AB18" s="22">
        <v>1.0609</v>
      </c>
    </row>
    <row r="19" spans="2:28" x14ac:dyDescent="0.25">
      <c r="B19" s="21">
        <v>44</v>
      </c>
      <c r="C19" s="12">
        <v>42650</v>
      </c>
      <c r="D19" s="56">
        <v>0.63750000000000007</v>
      </c>
      <c r="E19" s="13">
        <v>72</v>
      </c>
      <c r="F19" s="15">
        <v>335</v>
      </c>
      <c r="G19" s="12">
        <v>42653</v>
      </c>
      <c r="H19" s="14">
        <v>32.9</v>
      </c>
      <c r="I19" s="99" t="s">
        <v>35</v>
      </c>
      <c r="J19" s="15">
        <v>207</v>
      </c>
      <c r="K19" s="14">
        <v>177</v>
      </c>
      <c r="L19" s="73">
        <f t="shared" si="0"/>
        <v>0.85507246376811596</v>
      </c>
      <c r="M19" s="74">
        <v>42659</v>
      </c>
      <c r="N19" s="78">
        <v>0.97503472222222232</v>
      </c>
      <c r="O19" s="107">
        <f t="shared" si="1"/>
        <v>9.3375347222245182</v>
      </c>
      <c r="P19" s="34">
        <v>6.2E-2</v>
      </c>
      <c r="Q19" s="16">
        <v>0.28070000000000001</v>
      </c>
      <c r="R19" s="16">
        <v>0.17610000000000001</v>
      </c>
      <c r="S19" s="16">
        <v>0.2001</v>
      </c>
      <c r="T19" s="16">
        <v>0.2361</v>
      </c>
      <c r="U19" s="16">
        <v>1.4318</v>
      </c>
      <c r="V19" s="16">
        <v>8.48E-2</v>
      </c>
      <c r="W19" s="16">
        <v>0.6986</v>
      </c>
      <c r="X19" s="16">
        <v>0.1411</v>
      </c>
      <c r="Y19" s="16">
        <v>0.45960000000000001</v>
      </c>
      <c r="Z19" s="16">
        <v>0.6069</v>
      </c>
      <c r="AA19" s="16">
        <v>0.31319999999999998</v>
      </c>
      <c r="AB19" s="22">
        <v>1.6759999999999999</v>
      </c>
    </row>
    <row r="20" spans="2:28" x14ac:dyDescent="0.25">
      <c r="B20" s="21">
        <v>45</v>
      </c>
      <c r="C20" s="12">
        <v>42650</v>
      </c>
      <c r="D20" s="56">
        <v>0.64444444444444449</v>
      </c>
      <c r="E20" s="13">
        <v>72</v>
      </c>
      <c r="F20" s="15">
        <v>298</v>
      </c>
      <c r="G20" s="12">
        <v>42653</v>
      </c>
      <c r="H20" s="14">
        <v>30.7</v>
      </c>
      <c r="I20" s="99" t="s">
        <v>35</v>
      </c>
      <c r="J20" s="15">
        <v>200</v>
      </c>
      <c r="K20" s="14">
        <v>197</v>
      </c>
      <c r="L20" s="73">
        <f t="shared" si="0"/>
        <v>0.98499999999999999</v>
      </c>
      <c r="M20" s="74">
        <v>42659</v>
      </c>
      <c r="N20" s="78">
        <v>0.97920138888888886</v>
      </c>
      <c r="O20" s="107">
        <f t="shared" si="1"/>
        <v>9.3347569444449618</v>
      </c>
      <c r="P20" s="34">
        <v>0.1125</v>
      </c>
      <c r="Q20" s="16">
        <v>0.31869999999999998</v>
      </c>
      <c r="R20" s="16">
        <v>0.16689999999999999</v>
      </c>
      <c r="S20" s="16">
        <v>0.21210000000000001</v>
      </c>
      <c r="T20" s="16">
        <v>0.18970000000000001</v>
      </c>
      <c r="U20" s="16">
        <v>1.6444000000000001</v>
      </c>
      <c r="V20" s="16">
        <v>5.5199999999999999E-2</v>
      </c>
      <c r="W20" s="16">
        <v>0.56110000000000004</v>
      </c>
      <c r="X20" s="16">
        <v>0.13819999999999999</v>
      </c>
      <c r="Y20" s="16">
        <v>0.32950000000000002</v>
      </c>
      <c r="Z20" s="16">
        <v>0.56599999999999995</v>
      </c>
      <c r="AA20" s="16">
        <v>0.40749999999999997</v>
      </c>
      <c r="AB20" s="22">
        <v>2.2166999999999999</v>
      </c>
    </row>
    <row r="21" spans="2:28" x14ac:dyDescent="0.25">
      <c r="B21" s="21">
        <v>51</v>
      </c>
      <c r="C21" s="12">
        <v>42650</v>
      </c>
      <c r="D21" s="56">
        <v>0.66041666666666665</v>
      </c>
      <c r="E21" s="13">
        <v>24</v>
      </c>
      <c r="F21" s="15">
        <v>154</v>
      </c>
      <c r="G21" s="12">
        <v>42651</v>
      </c>
      <c r="H21" s="14">
        <v>26.6</v>
      </c>
      <c r="I21" s="99" t="s">
        <v>35</v>
      </c>
      <c r="J21" s="15">
        <v>134.69999999999999</v>
      </c>
      <c r="K21" s="14">
        <v>133.6</v>
      </c>
      <c r="L21" s="73">
        <f t="shared" si="0"/>
        <v>0.99183370452858211</v>
      </c>
      <c r="M21" s="74">
        <v>42659</v>
      </c>
      <c r="N21" s="78">
        <v>0.90517361111111105</v>
      </c>
      <c r="O21" s="107">
        <f t="shared" si="1"/>
        <v>9.2447569444484543</v>
      </c>
      <c r="P21" s="34">
        <v>5.0799999999999998E-2</v>
      </c>
      <c r="Q21" s="16">
        <v>0.31659999999999999</v>
      </c>
      <c r="R21" s="16">
        <v>0.191</v>
      </c>
      <c r="S21" s="16">
        <v>0.21340000000000001</v>
      </c>
      <c r="T21" s="16">
        <v>0.15740000000000001</v>
      </c>
      <c r="U21" s="16">
        <v>1.4802999999999999</v>
      </c>
      <c r="V21" s="16">
        <v>0.14610000000000001</v>
      </c>
      <c r="W21" s="16">
        <v>0.16739999999999999</v>
      </c>
      <c r="X21" s="16">
        <v>0.11459999999999999</v>
      </c>
      <c r="Y21" s="16">
        <v>0.66</v>
      </c>
      <c r="Z21" s="16">
        <v>0.4763</v>
      </c>
      <c r="AA21" s="16">
        <v>0.19270000000000001</v>
      </c>
      <c r="AB21" s="22">
        <v>1.3567</v>
      </c>
    </row>
    <row r="22" spans="2:28" x14ac:dyDescent="0.25">
      <c r="B22" s="21">
        <v>52</v>
      </c>
      <c r="C22" s="12">
        <v>42650</v>
      </c>
      <c r="D22" s="56">
        <v>0.67222222222222217</v>
      </c>
      <c r="E22" s="13">
        <v>24</v>
      </c>
      <c r="F22" s="15">
        <v>207</v>
      </c>
      <c r="G22" s="12">
        <v>42651</v>
      </c>
      <c r="H22" s="14">
        <v>28.2</v>
      </c>
      <c r="I22" s="99" t="s">
        <v>35</v>
      </c>
      <c r="J22" s="15">
        <v>159.69999999999999</v>
      </c>
      <c r="K22" s="14">
        <v>82.5</v>
      </c>
      <c r="L22" s="73">
        <f t="shared" si="0"/>
        <v>0.51659361302442086</v>
      </c>
      <c r="M22" s="74">
        <v>42659</v>
      </c>
      <c r="N22" s="78">
        <v>0.90934027777777782</v>
      </c>
      <c r="O22" s="107">
        <f t="shared" si="1"/>
        <v>9.2371180555564933</v>
      </c>
      <c r="P22" s="34">
        <v>7.85E-2</v>
      </c>
      <c r="Q22" s="16">
        <v>0.25019999999999998</v>
      </c>
      <c r="R22" s="16">
        <v>0.1177</v>
      </c>
      <c r="S22" s="16">
        <v>0.17269999999999999</v>
      </c>
      <c r="T22" s="16">
        <v>0.2049</v>
      </c>
      <c r="U22" s="16">
        <v>1.6013999999999999</v>
      </c>
      <c r="V22" s="16">
        <v>3.0800000000000001E-2</v>
      </c>
      <c r="W22" s="16">
        <v>1.0185999999999999</v>
      </c>
      <c r="X22" s="16">
        <v>0.1729</v>
      </c>
      <c r="Y22" s="16">
        <v>0.63500000000000001</v>
      </c>
      <c r="Z22" s="16">
        <v>0.48349999999999999</v>
      </c>
      <c r="AA22" s="16">
        <v>0.25629999999999997</v>
      </c>
      <c r="AB22" s="22">
        <v>0.74039999999999995</v>
      </c>
    </row>
    <row r="23" spans="2:28" x14ac:dyDescent="0.25">
      <c r="B23" s="21">
        <v>53</v>
      </c>
      <c r="C23" s="12">
        <v>42650</v>
      </c>
      <c r="D23" s="56">
        <v>0.68888888888888899</v>
      </c>
      <c r="E23" s="13">
        <v>216</v>
      </c>
      <c r="F23" s="15">
        <v>321</v>
      </c>
      <c r="G23" s="12">
        <v>42659</v>
      </c>
      <c r="H23" s="14">
        <v>30.4</v>
      </c>
      <c r="I23" s="99" t="s">
        <v>35</v>
      </c>
      <c r="J23" s="15">
        <v>41</v>
      </c>
      <c r="K23" s="14">
        <v>31</v>
      </c>
      <c r="L23" s="73">
        <f t="shared" si="0"/>
        <v>0.75609756097560976</v>
      </c>
      <c r="M23" s="74">
        <v>42660</v>
      </c>
      <c r="N23" s="78">
        <v>1.6157407407407409E-2</v>
      </c>
      <c r="O23" s="107">
        <f t="shared" si="1"/>
        <v>9.3272685185220325</v>
      </c>
      <c r="P23" s="34">
        <v>9.8100000000000007E-2</v>
      </c>
      <c r="Q23" s="16">
        <v>0.31209999999999999</v>
      </c>
      <c r="R23" s="16">
        <v>0.1925</v>
      </c>
      <c r="S23" s="16">
        <v>0.22839999999999999</v>
      </c>
      <c r="T23" s="16">
        <v>0.18740000000000001</v>
      </c>
      <c r="U23" s="16">
        <v>1.4685999999999999</v>
      </c>
      <c r="V23" s="16">
        <v>0.12640000000000001</v>
      </c>
      <c r="W23" s="16">
        <v>0.28660000000000002</v>
      </c>
      <c r="X23" s="16">
        <v>0.19700000000000001</v>
      </c>
      <c r="Y23" s="16">
        <v>0.8226</v>
      </c>
      <c r="Z23" s="16">
        <v>0.73939999999999995</v>
      </c>
      <c r="AA23" s="16">
        <v>0.76239999999999997</v>
      </c>
      <c r="AB23" s="22">
        <v>1.9255</v>
      </c>
    </row>
    <row r="24" spans="2:28" x14ac:dyDescent="0.25">
      <c r="B24" s="21">
        <v>55</v>
      </c>
      <c r="C24" s="12">
        <v>42650</v>
      </c>
      <c r="D24" s="56">
        <v>0.70416666666666661</v>
      </c>
      <c r="E24" s="13">
        <v>216</v>
      </c>
      <c r="F24" s="15">
        <v>265</v>
      </c>
      <c r="G24" s="12">
        <v>42659</v>
      </c>
      <c r="H24" s="14">
        <v>29.4</v>
      </c>
      <c r="I24" s="99" t="s">
        <v>36</v>
      </c>
      <c r="J24" s="15">
        <v>84</v>
      </c>
      <c r="K24" s="105" t="s">
        <v>47</v>
      </c>
      <c r="L24" s="105" t="s">
        <v>47</v>
      </c>
      <c r="M24" s="105" t="s">
        <v>47</v>
      </c>
      <c r="N24" s="105" t="s">
        <v>47</v>
      </c>
      <c r="O24" s="108" t="s">
        <v>47</v>
      </c>
      <c r="P24" s="34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22"/>
    </row>
    <row r="25" spans="2:28" ht="15.75" thickBot="1" x14ac:dyDescent="0.3">
      <c r="B25" s="23"/>
      <c r="C25" s="24"/>
      <c r="D25" s="24"/>
      <c r="E25" s="25"/>
      <c r="F25" s="26"/>
      <c r="G25" s="24"/>
      <c r="H25" s="27"/>
      <c r="I25" s="101"/>
      <c r="J25" s="26"/>
      <c r="K25" s="27"/>
      <c r="L25" s="75"/>
      <c r="M25" s="76"/>
      <c r="N25" s="79"/>
      <c r="O25" s="109"/>
      <c r="P25" s="35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9"/>
    </row>
  </sheetData>
  <autoFilter ref="B4:AB25" xr:uid="{00000000-0009-0000-0000-000000000000}">
    <sortState xmlns:xlrd2="http://schemas.microsoft.com/office/spreadsheetml/2017/richdata2" ref="B6:AB25">
      <sortCondition ref="B4:B25"/>
    </sortState>
  </autoFilter>
  <mergeCells count="15">
    <mergeCell ref="B3:B4"/>
    <mergeCell ref="L3:L4"/>
    <mergeCell ref="P3:AB3"/>
    <mergeCell ref="K3:K4"/>
    <mergeCell ref="J3:J4"/>
    <mergeCell ref="E3:E4"/>
    <mergeCell ref="H3:H4"/>
    <mergeCell ref="G3:G4"/>
    <mergeCell ref="D3:D4"/>
    <mergeCell ref="C3:C4"/>
    <mergeCell ref="M3:M4"/>
    <mergeCell ref="O3:O4"/>
    <mergeCell ref="N3:N4"/>
    <mergeCell ref="I3:I4"/>
    <mergeCell ref="F3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25"/>
  <sheetViews>
    <sheetView showGridLines="0" workbookViewId="0">
      <selection activeCell="P5" sqref="P5"/>
    </sheetView>
  </sheetViews>
  <sheetFormatPr defaultRowHeight="15" x14ac:dyDescent="0.25"/>
  <cols>
    <col min="1" max="1" width="1.42578125" customWidth="1"/>
    <col min="2" max="2" width="9.140625" style="4"/>
    <col min="5" max="6" width="10.7109375" style="5" customWidth="1"/>
    <col min="7" max="7" width="10" style="5" customWidth="1"/>
    <col min="10" max="10" width="12.140625" style="6" customWidth="1"/>
    <col min="11" max="11" width="11.5703125" style="2" customWidth="1"/>
    <col min="12" max="14" width="11.5703125" style="32" customWidth="1"/>
    <col min="15" max="15" width="10" customWidth="1"/>
    <col min="16" max="28" width="10.28515625" style="3" customWidth="1"/>
  </cols>
  <sheetData>
    <row r="1" spans="2:28" ht="23.25" x14ac:dyDescent="0.35">
      <c r="B1" s="31" t="s">
        <v>18</v>
      </c>
    </row>
    <row r="2" spans="2:28" ht="11.25" customHeight="1" thickBot="1" x14ac:dyDescent="0.3">
      <c r="B2" s="30"/>
    </row>
    <row r="3" spans="2:28" ht="17.25" customHeight="1" x14ac:dyDescent="0.25">
      <c r="B3" s="166" t="s">
        <v>0</v>
      </c>
      <c r="C3" s="161" t="s">
        <v>31</v>
      </c>
      <c r="D3" s="161" t="s">
        <v>30</v>
      </c>
      <c r="E3" s="161" t="s">
        <v>15</v>
      </c>
      <c r="F3" s="168" t="s">
        <v>46</v>
      </c>
      <c r="G3" s="174" t="s">
        <v>39</v>
      </c>
      <c r="H3" s="161" t="s">
        <v>16</v>
      </c>
      <c r="I3" s="161" t="s">
        <v>34</v>
      </c>
      <c r="J3" s="168" t="s">
        <v>48</v>
      </c>
      <c r="K3" s="170" t="s">
        <v>17</v>
      </c>
      <c r="L3" s="161" t="s">
        <v>49</v>
      </c>
      <c r="M3" s="174" t="s">
        <v>32</v>
      </c>
      <c r="N3" s="172" t="s">
        <v>28</v>
      </c>
      <c r="O3" s="172" t="s">
        <v>40</v>
      </c>
      <c r="P3" s="163" t="s">
        <v>19</v>
      </c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5"/>
    </row>
    <row r="4" spans="2:28" s="1" customFormat="1" ht="26.25" thickBot="1" x14ac:dyDescent="0.3">
      <c r="B4" s="167"/>
      <c r="C4" s="162"/>
      <c r="D4" s="162"/>
      <c r="E4" s="162"/>
      <c r="F4" s="169"/>
      <c r="G4" s="175"/>
      <c r="H4" s="162"/>
      <c r="I4" s="162"/>
      <c r="J4" s="169"/>
      <c r="K4" s="171"/>
      <c r="L4" s="162"/>
      <c r="M4" s="175"/>
      <c r="N4" s="173"/>
      <c r="O4" s="173"/>
      <c r="P4" s="36" t="s">
        <v>2</v>
      </c>
      <c r="Q4" s="37" t="s">
        <v>3</v>
      </c>
      <c r="R4" s="37" t="s">
        <v>4</v>
      </c>
      <c r="S4" s="37" t="s">
        <v>5</v>
      </c>
      <c r="T4" s="37" t="s">
        <v>6</v>
      </c>
      <c r="U4" s="37" t="s">
        <v>7</v>
      </c>
      <c r="V4" s="37" t="s">
        <v>45</v>
      </c>
      <c r="W4" s="37" t="s">
        <v>8</v>
      </c>
      <c r="X4" s="37" t="s">
        <v>9</v>
      </c>
      <c r="Y4" s="37" t="s">
        <v>10</v>
      </c>
      <c r="Z4" s="37" t="s">
        <v>11</v>
      </c>
      <c r="AA4" s="37" t="s">
        <v>12</v>
      </c>
      <c r="AB4" s="38" t="s">
        <v>13</v>
      </c>
    </row>
    <row r="5" spans="2:28" x14ac:dyDescent="0.25">
      <c r="B5" s="19">
        <v>11</v>
      </c>
      <c r="C5" s="7">
        <v>42650</v>
      </c>
      <c r="D5" s="55">
        <v>0.41666666666666669</v>
      </c>
      <c r="E5" s="8">
        <v>0</v>
      </c>
      <c r="F5" s="10">
        <v>267</v>
      </c>
      <c r="G5" s="7">
        <v>42650</v>
      </c>
      <c r="H5" s="9">
        <v>29.9</v>
      </c>
      <c r="I5" s="98" t="s">
        <v>35</v>
      </c>
      <c r="J5" s="10">
        <v>267</v>
      </c>
      <c r="K5" s="9">
        <v>189</v>
      </c>
      <c r="L5" s="57">
        <f t="shared" ref="L5:L23" si="0">K5/J5</f>
        <v>0.7078651685393258</v>
      </c>
      <c r="M5" s="60">
        <v>42659</v>
      </c>
      <c r="N5" s="81">
        <v>0.82314814814814818</v>
      </c>
      <c r="O5" s="83">
        <f t="shared" ref="O5:O23" si="1">(M5+N5)-(C5+D5)</f>
        <v>9.4064814814846613</v>
      </c>
      <c r="P5" s="52">
        <v>30992</v>
      </c>
      <c r="Q5" s="10">
        <v>20402</v>
      </c>
      <c r="R5" s="10">
        <v>1069</v>
      </c>
      <c r="S5" s="10">
        <v>30549.8</v>
      </c>
      <c r="T5" s="10">
        <v>55436.800000000003</v>
      </c>
      <c r="U5" s="10">
        <v>1570817.1</v>
      </c>
      <c r="V5" s="10">
        <v>1282018.5</v>
      </c>
      <c r="W5" s="10"/>
      <c r="X5" s="10">
        <v>1576702.3</v>
      </c>
      <c r="Y5" s="10">
        <v>645022.6</v>
      </c>
      <c r="Z5" s="10">
        <v>251456.8</v>
      </c>
      <c r="AA5" s="10">
        <v>798152.7</v>
      </c>
      <c r="AB5" s="41">
        <v>1160216.8</v>
      </c>
    </row>
    <row r="6" spans="2:28" x14ac:dyDescent="0.25">
      <c r="B6" s="21">
        <v>12</v>
      </c>
      <c r="C6" s="12">
        <v>42650</v>
      </c>
      <c r="D6" s="56">
        <v>0.43194444444444446</v>
      </c>
      <c r="E6" s="13">
        <v>0</v>
      </c>
      <c r="F6" s="15">
        <v>83</v>
      </c>
      <c r="G6" s="12">
        <v>42650</v>
      </c>
      <c r="H6" s="14">
        <v>26.9</v>
      </c>
      <c r="I6" s="99" t="s">
        <v>35</v>
      </c>
      <c r="J6" s="15">
        <v>83</v>
      </c>
      <c r="K6" s="14">
        <v>8.1999999999999993</v>
      </c>
      <c r="L6" s="58">
        <f t="shared" si="0"/>
        <v>9.8795180722891562E-2</v>
      </c>
      <c r="M6" s="61">
        <v>42659</v>
      </c>
      <c r="N6" s="82">
        <v>0.82731481481481473</v>
      </c>
      <c r="O6" s="84">
        <f t="shared" si="1"/>
        <v>9.3953703703737119</v>
      </c>
      <c r="P6" s="53">
        <v>15044</v>
      </c>
      <c r="Q6" s="15">
        <v>20911.099999999999</v>
      </c>
      <c r="R6" s="15">
        <v>6556.9</v>
      </c>
      <c r="S6" s="15">
        <v>28886.7</v>
      </c>
      <c r="T6" s="15">
        <v>63535.4</v>
      </c>
      <c r="U6" s="15">
        <v>331645.40000000002</v>
      </c>
      <c r="V6" s="15">
        <v>898965.6</v>
      </c>
      <c r="W6" s="15"/>
      <c r="X6" s="15">
        <v>411579.3</v>
      </c>
      <c r="Y6" s="15">
        <v>318195.3</v>
      </c>
      <c r="Z6" s="15">
        <v>106111.3</v>
      </c>
      <c r="AA6" s="15">
        <v>264172.79999999999</v>
      </c>
      <c r="AB6" s="42">
        <v>313293.40000000002</v>
      </c>
    </row>
    <row r="7" spans="2:28" x14ac:dyDescent="0.25">
      <c r="B7" s="21">
        <v>13</v>
      </c>
      <c r="C7" s="12">
        <v>42650</v>
      </c>
      <c r="D7" s="56">
        <v>0.45</v>
      </c>
      <c r="E7" s="13">
        <v>0</v>
      </c>
      <c r="F7" s="15">
        <v>16.2</v>
      </c>
      <c r="G7" s="12">
        <v>42650</v>
      </c>
      <c r="H7" s="14">
        <v>38.799999999999997</v>
      </c>
      <c r="I7" s="99" t="s">
        <v>35</v>
      </c>
      <c r="J7" s="15">
        <v>16.2</v>
      </c>
      <c r="K7" s="14">
        <v>7.9</v>
      </c>
      <c r="L7" s="58">
        <f t="shared" si="0"/>
        <v>0.48765432098765438</v>
      </c>
      <c r="M7" s="61">
        <v>42659</v>
      </c>
      <c r="N7" s="82">
        <v>0.83148148148148149</v>
      </c>
      <c r="O7" s="84">
        <f t="shared" si="1"/>
        <v>9.3814814814832062</v>
      </c>
      <c r="P7" s="53">
        <v>5899.5</v>
      </c>
      <c r="Q7" s="15">
        <v>32818.5</v>
      </c>
      <c r="R7" s="15">
        <v>7098.3</v>
      </c>
      <c r="S7" s="15">
        <v>17484</v>
      </c>
      <c r="T7" s="15">
        <v>37220.400000000001</v>
      </c>
      <c r="U7" s="15">
        <v>113290.8</v>
      </c>
      <c r="V7" s="15">
        <v>275438</v>
      </c>
      <c r="W7" s="15"/>
      <c r="X7" s="15">
        <v>29116.9</v>
      </c>
      <c r="Y7" s="15">
        <v>212980.5</v>
      </c>
      <c r="Z7" s="15">
        <v>53482.5</v>
      </c>
      <c r="AA7" s="15">
        <v>65456.3</v>
      </c>
      <c r="AB7" s="42">
        <v>121917.1</v>
      </c>
    </row>
    <row r="8" spans="2:28" x14ac:dyDescent="0.25">
      <c r="B8" s="21">
        <v>14</v>
      </c>
      <c r="C8" s="12">
        <v>42650</v>
      </c>
      <c r="D8" s="56">
        <v>0.46249999999999997</v>
      </c>
      <c r="E8" s="13">
        <v>0</v>
      </c>
      <c r="F8" s="15">
        <v>26.9</v>
      </c>
      <c r="G8" s="12">
        <v>42650</v>
      </c>
      <c r="H8" s="14">
        <v>30.3</v>
      </c>
      <c r="I8" s="99" t="s">
        <v>35</v>
      </c>
      <c r="J8" s="15">
        <v>26.9</v>
      </c>
      <c r="K8" s="14">
        <v>12.3</v>
      </c>
      <c r="L8" s="58">
        <f t="shared" si="0"/>
        <v>0.45724907063197029</v>
      </c>
      <c r="M8" s="61">
        <v>42659</v>
      </c>
      <c r="N8" s="82">
        <v>0.83564814814814825</v>
      </c>
      <c r="O8" s="84">
        <f t="shared" si="1"/>
        <v>9.3731481481445371</v>
      </c>
      <c r="P8" s="53">
        <v>15209.4</v>
      </c>
      <c r="Q8" s="15">
        <v>17154.400000000001</v>
      </c>
      <c r="R8" s="15">
        <v>1232.2</v>
      </c>
      <c r="S8" s="15">
        <v>9074.1</v>
      </c>
      <c r="T8" s="15">
        <v>30359.7</v>
      </c>
      <c r="U8" s="15">
        <v>187802.2</v>
      </c>
      <c r="V8" s="15">
        <v>416010.7</v>
      </c>
      <c r="W8" s="15"/>
      <c r="X8" s="15">
        <v>425225.4</v>
      </c>
      <c r="Y8" s="15">
        <v>709013.5</v>
      </c>
      <c r="Z8" s="15">
        <v>150764.70000000001</v>
      </c>
      <c r="AA8" s="15">
        <v>89640.4</v>
      </c>
      <c r="AB8" s="42">
        <v>361761.2</v>
      </c>
    </row>
    <row r="9" spans="2:28" x14ac:dyDescent="0.25">
      <c r="B9" s="21">
        <v>22</v>
      </c>
      <c r="C9" s="12">
        <v>42650</v>
      </c>
      <c r="D9" s="56">
        <v>0.48541666666666666</v>
      </c>
      <c r="E9" s="13">
        <v>48</v>
      </c>
      <c r="F9" s="15">
        <v>10</v>
      </c>
      <c r="G9" s="12">
        <v>42652</v>
      </c>
      <c r="H9" s="14">
        <v>30.8</v>
      </c>
      <c r="I9" s="99" t="s">
        <v>36</v>
      </c>
      <c r="J9" s="15">
        <v>1.9</v>
      </c>
      <c r="K9" s="14">
        <v>1.1000000000000001</v>
      </c>
      <c r="L9" s="58">
        <f t="shared" si="0"/>
        <v>0.57894736842105265</v>
      </c>
      <c r="M9" s="61">
        <v>42659</v>
      </c>
      <c r="N9" s="82">
        <v>0.93465277777777767</v>
      </c>
      <c r="O9" s="84">
        <f t="shared" si="1"/>
        <v>9.4492361111042555</v>
      </c>
      <c r="P9" s="53">
        <v>190.1</v>
      </c>
      <c r="Q9" s="15">
        <v>4097.1000000000004</v>
      </c>
      <c r="R9" s="15">
        <v>722.7</v>
      </c>
      <c r="S9" s="15">
        <v>686.5</v>
      </c>
      <c r="T9" s="15">
        <v>1533.4</v>
      </c>
      <c r="U9" s="15">
        <v>29608</v>
      </c>
      <c r="V9" s="15">
        <v>35628</v>
      </c>
      <c r="W9" s="15"/>
      <c r="X9" s="15">
        <v>29942.5</v>
      </c>
      <c r="Y9" s="15">
        <v>56858.5</v>
      </c>
      <c r="Z9" s="15">
        <v>7847.5</v>
      </c>
      <c r="AA9" s="15">
        <v>7416</v>
      </c>
      <c r="AB9" s="42">
        <v>16128.8</v>
      </c>
    </row>
    <row r="10" spans="2:28" x14ac:dyDescent="0.25">
      <c r="B10" s="21">
        <v>23</v>
      </c>
      <c r="C10" s="12">
        <v>42650</v>
      </c>
      <c r="D10" s="56">
        <v>0.49652777777777773</v>
      </c>
      <c r="E10" s="13">
        <v>72</v>
      </c>
      <c r="F10" s="15">
        <v>16.2</v>
      </c>
      <c r="G10" s="12">
        <v>42653</v>
      </c>
      <c r="H10" s="14">
        <v>28.2</v>
      </c>
      <c r="I10" s="99" t="s">
        <v>36</v>
      </c>
      <c r="J10" s="15">
        <v>2.2200000000000002</v>
      </c>
      <c r="K10" s="14">
        <v>0.33</v>
      </c>
      <c r="L10" s="58">
        <f t="shared" si="0"/>
        <v>0.14864864864864863</v>
      </c>
      <c r="M10" s="61">
        <v>42659</v>
      </c>
      <c r="N10" s="82">
        <v>0.97086805555555555</v>
      </c>
      <c r="O10" s="84">
        <f t="shared" si="1"/>
        <v>9.4743402777748997</v>
      </c>
      <c r="P10" s="53">
        <v>3070.3</v>
      </c>
      <c r="Q10" s="15">
        <v>538.20000000000005</v>
      </c>
      <c r="R10" s="15">
        <v>786.3</v>
      </c>
      <c r="S10" s="15">
        <v>1477.5</v>
      </c>
      <c r="T10" s="15">
        <v>30065.9</v>
      </c>
      <c r="U10" s="15">
        <v>5949.9</v>
      </c>
      <c r="V10" s="15">
        <v>164843</v>
      </c>
      <c r="W10" s="15"/>
      <c r="X10" s="15">
        <v>140204.70000000001</v>
      </c>
      <c r="Y10" s="15">
        <v>12542.6</v>
      </c>
      <c r="Z10" s="15">
        <v>3562.4</v>
      </c>
      <c r="AA10" s="15">
        <v>9226</v>
      </c>
      <c r="AB10" s="42">
        <v>32</v>
      </c>
    </row>
    <row r="11" spans="2:28" x14ac:dyDescent="0.25">
      <c r="B11" s="21">
        <v>24</v>
      </c>
      <c r="C11" s="12">
        <v>42650</v>
      </c>
      <c r="D11" s="56">
        <v>0.50972222222222219</v>
      </c>
      <c r="E11" s="13">
        <v>48</v>
      </c>
      <c r="F11" s="15">
        <v>69</v>
      </c>
      <c r="G11" s="12">
        <v>42652</v>
      </c>
      <c r="H11" s="14">
        <v>27.8</v>
      </c>
      <c r="I11" s="99" t="s">
        <v>35</v>
      </c>
      <c r="J11" s="15">
        <v>46.7</v>
      </c>
      <c r="K11" s="14">
        <v>45</v>
      </c>
      <c r="L11" s="58">
        <f t="shared" si="0"/>
        <v>0.9635974304068522</v>
      </c>
      <c r="M11" s="61">
        <v>42659</v>
      </c>
      <c r="N11" s="82">
        <v>0.93881944444444443</v>
      </c>
      <c r="O11" s="84">
        <f t="shared" si="1"/>
        <v>9.4290972222224809</v>
      </c>
      <c r="P11" s="53">
        <v>1652.3</v>
      </c>
      <c r="Q11" s="15">
        <v>3012.8</v>
      </c>
      <c r="R11" s="15">
        <v>812</v>
      </c>
      <c r="S11" s="15">
        <v>1788.7</v>
      </c>
      <c r="T11" s="15">
        <v>2305.4</v>
      </c>
      <c r="U11" s="15">
        <v>21795.8</v>
      </c>
      <c r="V11" s="15">
        <v>3160</v>
      </c>
      <c r="W11" s="15"/>
      <c r="X11" s="15">
        <v>349337.8</v>
      </c>
      <c r="Y11" s="15">
        <v>50822.6</v>
      </c>
      <c r="Z11" s="15">
        <v>53810.7</v>
      </c>
      <c r="AA11" s="15">
        <v>5583.1</v>
      </c>
      <c r="AB11" s="42">
        <v>22511</v>
      </c>
    </row>
    <row r="12" spans="2:28" x14ac:dyDescent="0.25">
      <c r="B12" s="21">
        <v>25</v>
      </c>
      <c r="C12" s="12">
        <v>42650</v>
      </c>
      <c r="D12" s="56">
        <v>0.52013888888888882</v>
      </c>
      <c r="E12" s="13">
        <v>48</v>
      </c>
      <c r="F12" s="17">
        <v>1.1000000000000001</v>
      </c>
      <c r="G12" s="12">
        <v>42652</v>
      </c>
      <c r="H12" s="14">
        <v>29.1</v>
      </c>
      <c r="I12" s="99" t="s">
        <v>36</v>
      </c>
      <c r="J12" s="17">
        <v>0.22</v>
      </c>
      <c r="K12" s="14">
        <v>0.19</v>
      </c>
      <c r="L12" s="58">
        <f t="shared" si="0"/>
        <v>0.86363636363636365</v>
      </c>
      <c r="M12" s="61">
        <v>42659</v>
      </c>
      <c r="N12" s="82">
        <v>0.94298611111111119</v>
      </c>
      <c r="O12" s="84">
        <f t="shared" si="1"/>
        <v>9.4228472222239361</v>
      </c>
      <c r="P12" s="53">
        <v>44.1</v>
      </c>
      <c r="Q12" s="15">
        <v>553.6</v>
      </c>
      <c r="R12" s="15">
        <v>6467</v>
      </c>
      <c r="S12" s="15">
        <v>136.30000000000001</v>
      </c>
      <c r="T12" s="15">
        <v>432.8</v>
      </c>
      <c r="U12" s="15">
        <v>2035.3</v>
      </c>
      <c r="V12" s="15">
        <v>504.6</v>
      </c>
      <c r="W12" s="15"/>
      <c r="X12" s="15">
        <v>1456.5</v>
      </c>
      <c r="Y12" s="15">
        <v>7211.3</v>
      </c>
      <c r="Z12" s="15">
        <v>747.7</v>
      </c>
      <c r="AA12" s="15">
        <v>525.20000000000005</v>
      </c>
      <c r="AB12" s="42">
        <v>2902.3</v>
      </c>
    </row>
    <row r="13" spans="2:28" x14ac:dyDescent="0.25">
      <c r="B13" s="21">
        <v>31</v>
      </c>
      <c r="C13" s="12">
        <v>42650</v>
      </c>
      <c r="D13" s="56">
        <v>0.52986111111111112</v>
      </c>
      <c r="E13" s="13">
        <v>48</v>
      </c>
      <c r="F13" s="15">
        <v>115.8</v>
      </c>
      <c r="G13" s="12">
        <v>42652</v>
      </c>
      <c r="H13" s="14">
        <v>27.5</v>
      </c>
      <c r="I13" s="99" t="s">
        <v>35</v>
      </c>
      <c r="J13" s="15">
        <v>90</v>
      </c>
      <c r="K13" s="14">
        <v>89</v>
      </c>
      <c r="L13" s="58">
        <f t="shared" si="0"/>
        <v>0.98888888888888893</v>
      </c>
      <c r="M13" s="61">
        <v>42659</v>
      </c>
      <c r="N13" s="82">
        <v>0.94715277777777773</v>
      </c>
      <c r="O13" s="84">
        <f t="shared" si="1"/>
        <v>9.4172916666648234</v>
      </c>
      <c r="P13" s="53">
        <v>3062.4</v>
      </c>
      <c r="Q13" s="15">
        <v>24312.2</v>
      </c>
      <c r="R13" s="15">
        <v>6545.9</v>
      </c>
      <c r="S13" s="15">
        <v>2775.9</v>
      </c>
      <c r="T13" s="15">
        <v>3934.1</v>
      </c>
      <c r="U13" s="15">
        <v>73673.5</v>
      </c>
      <c r="V13" s="15">
        <v>15389.1</v>
      </c>
      <c r="W13" s="15"/>
      <c r="X13" s="15">
        <v>39546.9</v>
      </c>
      <c r="Y13" s="15">
        <v>108523.6</v>
      </c>
      <c r="Z13" s="15">
        <v>27287</v>
      </c>
      <c r="AA13" s="15">
        <v>32787.4</v>
      </c>
      <c r="AB13" s="42">
        <v>52771</v>
      </c>
    </row>
    <row r="14" spans="2:28" x14ac:dyDescent="0.25">
      <c r="B14" s="21">
        <v>33</v>
      </c>
      <c r="C14" s="12">
        <v>42650</v>
      </c>
      <c r="D14" s="56">
        <v>0.55208333333333337</v>
      </c>
      <c r="E14" s="13">
        <v>216</v>
      </c>
      <c r="F14" s="15">
        <v>229</v>
      </c>
      <c r="G14" s="12">
        <v>42659</v>
      </c>
      <c r="H14" s="18">
        <v>28.7</v>
      </c>
      <c r="I14" s="100" t="s">
        <v>35</v>
      </c>
      <c r="J14" s="15">
        <v>84</v>
      </c>
      <c r="K14" s="14">
        <v>90</v>
      </c>
      <c r="L14" s="58">
        <f t="shared" si="0"/>
        <v>1.0714285714285714</v>
      </c>
      <c r="M14" s="61">
        <v>42660</v>
      </c>
      <c r="N14" s="82">
        <v>3.6574074074074074E-3</v>
      </c>
      <c r="O14" s="84">
        <f t="shared" si="1"/>
        <v>9.4515740740680485</v>
      </c>
      <c r="P14" s="53">
        <v>1272.3</v>
      </c>
      <c r="Q14" s="15">
        <v>72149.8</v>
      </c>
      <c r="R14" s="15">
        <v>117216.3</v>
      </c>
      <c r="S14" s="15">
        <v>16996.5</v>
      </c>
      <c r="T14" s="15">
        <v>35105.9</v>
      </c>
      <c r="U14" s="15">
        <v>128046.2</v>
      </c>
      <c r="V14" s="15">
        <v>6942.9</v>
      </c>
      <c r="W14" s="15"/>
      <c r="X14" s="15">
        <v>27956.9</v>
      </c>
      <c r="Y14" s="15">
        <v>92157.6</v>
      </c>
      <c r="Z14" s="15">
        <v>53377.5</v>
      </c>
      <c r="AA14" s="15">
        <v>21171</v>
      </c>
      <c r="AB14" s="42">
        <v>27678</v>
      </c>
    </row>
    <row r="15" spans="2:28" x14ac:dyDescent="0.25">
      <c r="B15" s="21">
        <v>34</v>
      </c>
      <c r="C15" s="12">
        <v>42650</v>
      </c>
      <c r="D15" s="56">
        <v>0.56388888888888888</v>
      </c>
      <c r="E15" s="13">
        <v>216</v>
      </c>
      <c r="F15" s="15">
        <v>187.4</v>
      </c>
      <c r="G15" s="12">
        <v>42659</v>
      </c>
      <c r="H15" s="18">
        <v>28.3</v>
      </c>
      <c r="I15" s="100" t="s">
        <v>35</v>
      </c>
      <c r="J15" s="15">
        <v>54</v>
      </c>
      <c r="K15" s="14">
        <v>52</v>
      </c>
      <c r="L15" s="58">
        <f t="shared" si="0"/>
        <v>0.96296296296296291</v>
      </c>
      <c r="M15" s="61">
        <v>42660</v>
      </c>
      <c r="N15" s="82">
        <v>7.8240740740740753E-3</v>
      </c>
      <c r="O15" s="84">
        <f t="shared" si="1"/>
        <v>9.4439351851906395</v>
      </c>
      <c r="P15" s="53">
        <v>1369.3</v>
      </c>
      <c r="Q15" s="15">
        <v>7612.5</v>
      </c>
      <c r="R15" s="15">
        <v>1451.2</v>
      </c>
      <c r="S15" s="15">
        <v>2984.1</v>
      </c>
      <c r="T15" s="15">
        <v>12126.1</v>
      </c>
      <c r="U15" s="15">
        <v>186471.2</v>
      </c>
      <c r="V15" s="15">
        <v>74738.399999999994</v>
      </c>
      <c r="W15" s="15"/>
      <c r="X15" s="15">
        <v>1633642.6</v>
      </c>
      <c r="Y15" s="15">
        <v>1568661</v>
      </c>
      <c r="Z15" s="15">
        <v>76171.8</v>
      </c>
      <c r="AA15" s="15">
        <v>79315.100000000006</v>
      </c>
      <c r="AB15" s="42">
        <v>36420.699999999997</v>
      </c>
    </row>
    <row r="16" spans="2:28" x14ac:dyDescent="0.25">
      <c r="B16" s="21">
        <v>35</v>
      </c>
      <c r="C16" s="12">
        <v>42650</v>
      </c>
      <c r="D16" s="56">
        <v>0.57777777777777783</v>
      </c>
      <c r="E16" s="13">
        <v>216</v>
      </c>
      <c r="F16" s="15">
        <v>430</v>
      </c>
      <c r="G16" s="12">
        <v>42659</v>
      </c>
      <c r="H16" s="18">
        <v>30.2</v>
      </c>
      <c r="I16" s="100" t="s">
        <v>35</v>
      </c>
      <c r="J16" s="15">
        <v>170</v>
      </c>
      <c r="K16" s="14">
        <v>173</v>
      </c>
      <c r="L16" s="58">
        <f t="shared" si="0"/>
        <v>1.0176470588235293</v>
      </c>
      <c r="M16" s="61">
        <v>42660</v>
      </c>
      <c r="N16" s="82">
        <v>1.1990740740740739E-2</v>
      </c>
      <c r="O16" s="84">
        <f t="shared" si="1"/>
        <v>9.4342129629658302</v>
      </c>
      <c r="P16" s="53">
        <v>4837.5</v>
      </c>
      <c r="Q16" s="15">
        <v>14513</v>
      </c>
      <c r="R16" s="15">
        <v>3714.2</v>
      </c>
      <c r="S16" s="15">
        <v>5181.6000000000004</v>
      </c>
      <c r="T16" s="15">
        <v>9665.7000000000007</v>
      </c>
      <c r="U16" s="15">
        <v>108132.5</v>
      </c>
      <c r="V16" s="15">
        <v>13401.7</v>
      </c>
      <c r="W16" s="15"/>
      <c r="X16" s="15">
        <v>79188</v>
      </c>
      <c r="Y16" s="15">
        <v>549346.1</v>
      </c>
      <c r="Z16" s="15">
        <v>64798</v>
      </c>
      <c r="AA16" s="15">
        <v>98772.5</v>
      </c>
      <c r="AB16" s="42">
        <v>127438.5</v>
      </c>
    </row>
    <row r="17" spans="2:28" x14ac:dyDescent="0.25">
      <c r="B17" s="21">
        <v>41</v>
      </c>
      <c r="C17" s="12">
        <v>42650</v>
      </c>
      <c r="D17" s="56">
        <v>0.60138888888888886</v>
      </c>
      <c r="E17" s="13">
        <v>24</v>
      </c>
      <c r="F17" s="15">
        <v>103.7</v>
      </c>
      <c r="G17" s="12">
        <v>42651</v>
      </c>
      <c r="H17" s="14">
        <v>31.1</v>
      </c>
      <c r="I17" s="99" t="s">
        <v>35</v>
      </c>
      <c r="J17" s="15">
        <v>92.9</v>
      </c>
      <c r="K17" s="14">
        <v>80</v>
      </c>
      <c r="L17" s="58">
        <f t="shared" si="0"/>
        <v>0.86114101184068881</v>
      </c>
      <c r="M17" s="61">
        <v>42659</v>
      </c>
      <c r="N17" s="82">
        <v>0.89684027777777775</v>
      </c>
      <c r="O17" s="84">
        <f t="shared" si="1"/>
        <v>9.2954513888835208</v>
      </c>
      <c r="P17" s="53">
        <v>888.5</v>
      </c>
      <c r="Q17" s="15">
        <v>38299.1</v>
      </c>
      <c r="R17" s="15">
        <v>42435.199999999997</v>
      </c>
      <c r="S17" s="15">
        <v>13842</v>
      </c>
      <c r="T17" s="15">
        <v>32554</v>
      </c>
      <c r="U17" s="15">
        <v>63949.7</v>
      </c>
      <c r="V17" s="15">
        <v>159339.29999999999</v>
      </c>
      <c r="W17" s="15"/>
      <c r="X17" s="15">
        <v>161735.1</v>
      </c>
      <c r="Y17" s="15">
        <v>273182.09999999998</v>
      </c>
      <c r="Z17" s="15">
        <v>29062</v>
      </c>
      <c r="AA17" s="15">
        <v>34083.5</v>
      </c>
      <c r="AB17" s="42">
        <v>416639.5</v>
      </c>
    </row>
    <row r="18" spans="2:28" x14ac:dyDescent="0.25">
      <c r="B18" s="21">
        <v>42</v>
      </c>
      <c r="C18" s="12">
        <v>42650</v>
      </c>
      <c r="D18" s="56">
        <v>0.61388888888888882</v>
      </c>
      <c r="E18" s="13">
        <v>24</v>
      </c>
      <c r="F18" s="15">
        <v>33.700000000000003</v>
      </c>
      <c r="G18" s="12">
        <v>42651</v>
      </c>
      <c r="H18" s="14">
        <v>29.6</v>
      </c>
      <c r="I18" s="99" t="s">
        <v>35</v>
      </c>
      <c r="J18" s="15">
        <v>21.7</v>
      </c>
      <c r="K18" s="14">
        <v>16.600000000000001</v>
      </c>
      <c r="L18" s="58">
        <f t="shared" si="0"/>
        <v>0.76497695852534575</v>
      </c>
      <c r="M18" s="61">
        <v>42659</v>
      </c>
      <c r="N18" s="82">
        <v>0.90100694444444451</v>
      </c>
      <c r="O18" s="84">
        <f t="shared" si="1"/>
        <v>9.2871180555521278</v>
      </c>
      <c r="P18" s="53">
        <v>1184.3</v>
      </c>
      <c r="Q18" s="15">
        <v>8600.2999999999993</v>
      </c>
      <c r="R18" s="15">
        <v>3640.5</v>
      </c>
      <c r="S18" s="15">
        <v>2878.9</v>
      </c>
      <c r="T18" s="15">
        <v>8027.3</v>
      </c>
      <c r="U18" s="15">
        <v>132604.6</v>
      </c>
      <c r="V18" s="15">
        <v>291271.3</v>
      </c>
      <c r="W18" s="15"/>
      <c r="X18" s="15">
        <v>257558</v>
      </c>
      <c r="Y18" s="15">
        <v>397706.4</v>
      </c>
      <c r="Z18" s="15">
        <v>41481.300000000003</v>
      </c>
      <c r="AA18" s="15">
        <v>10867.5</v>
      </c>
      <c r="AB18" s="42">
        <v>73722.5</v>
      </c>
    </row>
    <row r="19" spans="2:28" x14ac:dyDescent="0.25">
      <c r="B19" s="21">
        <v>44</v>
      </c>
      <c r="C19" s="12">
        <v>42650</v>
      </c>
      <c r="D19" s="56">
        <v>0.63750000000000007</v>
      </c>
      <c r="E19" s="13">
        <v>72</v>
      </c>
      <c r="F19" s="15">
        <v>335</v>
      </c>
      <c r="G19" s="12">
        <v>42653</v>
      </c>
      <c r="H19" s="14">
        <v>32.9</v>
      </c>
      <c r="I19" s="99" t="s">
        <v>35</v>
      </c>
      <c r="J19" s="15">
        <v>207</v>
      </c>
      <c r="K19" s="14">
        <v>177</v>
      </c>
      <c r="L19" s="58">
        <f t="shared" si="0"/>
        <v>0.85507246376811596</v>
      </c>
      <c r="M19" s="61">
        <v>42659</v>
      </c>
      <c r="N19" s="82">
        <v>0.97503472222222232</v>
      </c>
      <c r="O19" s="84">
        <f t="shared" si="1"/>
        <v>9.3375347222245182</v>
      </c>
      <c r="P19" s="53">
        <v>1446.8</v>
      </c>
      <c r="Q19" s="15">
        <v>12707.8</v>
      </c>
      <c r="R19" s="15">
        <v>2195.1999999999998</v>
      </c>
      <c r="S19" s="15">
        <v>4483</v>
      </c>
      <c r="T19" s="15">
        <v>8657</v>
      </c>
      <c r="U19" s="15">
        <v>142565.9</v>
      </c>
      <c r="V19" s="15">
        <v>1892964</v>
      </c>
      <c r="W19" s="15"/>
      <c r="X19" s="15">
        <v>2213777.7000000002</v>
      </c>
      <c r="Y19" s="15">
        <v>1185580.7</v>
      </c>
      <c r="Z19" s="15">
        <v>207377.1</v>
      </c>
      <c r="AA19" s="15">
        <v>22227.599999999999</v>
      </c>
      <c r="AB19" s="42">
        <v>73563.600000000006</v>
      </c>
    </row>
    <row r="20" spans="2:28" x14ac:dyDescent="0.25">
      <c r="B20" s="21">
        <v>45</v>
      </c>
      <c r="C20" s="12">
        <v>42650</v>
      </c>
      <c r="D20" s="56">
        <v>0.64444444444444449</v>
      </c>
      <c r="E20" s="13">
        <v>72</v>
      </c>
      <c r="F20" s="15">
        <v>298</v>
      </c>
      <c r="G20" s="12">
        <v>42653</v>
      </c>
      <c r="H20" s="14">
        <v>30.7</v>
      </c>
      <c r="I20" s="99" t="s">
        <v>35</v>
      </c>
      <c r="J20" s="15">
        <v>200</v>
      </c>
      <c r="K20" s="14">
        <v>197</v>
      </c>
      <c r="L20" s="58">
        <f t="shared" si="0"/>
        <v>0.98499999999999999</v>
      </c>
      <c r="M20" s="61">
        <v>42659</v>
      </c>
      <c r="N20" s="82">
        <v>0.97920138888888886</v>
      </c>
      <c r="O20" s="84">
        <f t="shared" si="1"/>
        <v>9.3347569444449618</v>
      </c>
      <c r="P20" s="53">
        <v>1420.3</v>
      </c>
      <c r="Q20" s="15">
        <v>9848.5</v>
      </c>
      <c r="R20" s="15">
        <v>1219.2</v>
      </c>
      <c r="S20" s="15">
        <v>2685.9</v>
      </c>
      <c r="T20" s="15">
        <v>4062.6</v>
      </c>
      <c r="U20" s="15">
        <v>102066.8</v>
      </c>
      <c r="V20" s="15">
        <v>6723.1</v>
      </c>
      <c r="W20" s="15"/>
      <c r="X20" s="15">
        <v>154981.29999999999</v>
      </c>
      <c r="Y20" s="15">
        <v>227125.3</v>
      </c>
      <c r="Z20" s="15">
        <v>66299.199999999997</v>
      </c>
      <c r="AA20" s="15">
        <v>7866.9</v>
      </c>
      <c r="AB20" s="42">
        <v>56049.8</v>
      </c>
    </row>
    <row r="21" spans="2:28" x14ac:dyDescent="0.25">
      <c r="B21" s="21">
        <v>51</v>
      </c>
      <c r="C21" s="12">
        <v>42650</v>
      </c>
      <c r="D21" s="56">
        <v>0.66041666666666665</v>
      </c>
      <c r="E21" s="13">
        <v>24</v>
      </c>
      <c r="F21" s="15">
        <v>154</v>
      </c>
      <c r="G21" s="12">
        <v>42651</v>
      </c>
      <c r="H21" s="14">
        <v>26.6</v>
      </c>
      <c r="I21" s="99" t="s">
        <v>35</v>
      </c>
      <c r="J21" s="15">
        <v>134.69999999999999</v>
      </c>
      <c r="K21" s="14">
        <v>133.6</v>
      </c>
      <c r="L21" s="58">
        <f t="shared" si="0"/>
        <v>0.99183370452858211</v>
      </c>
      <c r="M21" s="61">
        <v>42659</v>
      </c>
      <c r="N21" s="82">
        <v>0.90517361111111105</v>
      </c>
      <c r="O21" s="84">
        <f t="shared" si="1"/>
        <v>9.2447569444484543</v>
      </c>
      <c r="P21" s="53">
        <v>2504.8000000000002</v>
      </c>
      <c r="Q21" s="15">
        <v>12350.4</v>
      </c>
      <c r="R21" s="15">
        <v>783.5</v>
      </c>
      <c r="S21" s="15">
        <v>6476.2</v>
      </c>
      <c r="T21" s="15">
        <v>8326.6</v>
      </c>
      <c r="U21" s="15">
        <v>296719.5</v>
      </c>
      <c r="V21" s="15">
        <v>44148.5</v>
      </c>
      <c r="W21" s="15"/>
      <c r="X21" s="15">
        <v>132407.4</v>
      </c>
      <c r="Y21" s="15">
        <v>217957.3</v>
      </c>
      <c r="Z21" s="15">
        <v>50290.5</v>
      </c>
      <c r="AA21" s="15">
        <v>6942.8</v>
      </c>
      <c r="AB21" s="42">
        <v>359196.6</v>
      </c>
    </row>
    <row r="22" spans="2:28" x14ac:dyDescent="0.25">
      <c r="B22" s="21">
        <v>52</v>
      </c>
      <c r="C22" s="12">
        <v>42650</v>
      </c>
      <c r="D22" s="56">
        <v>0.67222222222222217</v>
      </c>
      <c r="E22" s="13">
        <v>24</v>
      </c>
      <c r="F22" s="15">
        <v>207</v>
      </c>
      <c r="G22" s="12">
        <v>42651</v>
      </c>
      <c r="H22" s="14">
        <v>28.2</v>
      </c>
      <c r="I22" s="99" t="s">
        <v>35</v>
      </c>
      <c r="J22" s="15">
        <v>159.69999999999999</v>
      </c>
      <c r="K22" s="14">
        <v>82.5</v>
      </c>
      <c r="L22" s="58">
        <f t="shared" si="0"/>
        <v>0.51659361302442086</v>
      </c>
      <c r="M22" s="61">
        <v>42659</v>
      </c>
      <c r="N22" s="82">
        <v>0.90934027777777782</v>
      </c>
      <c r="O22" s="84">
        <f t="shared" si="1"/>
        <v>9.2371180555564933</v>
      </c>
      <c r="P22" s="53">
        <v>11423.7</v>
      </c>
      <c r="Q22" s="15">
        <v>38041.4</v>
      </c>
      <c r="R22" s="15">
        <v>3491.3</v>
      </c>
      <c r="S22" s="15">
        <v>13222.9</v>
      </c>
      <c r="T22" s="15">
        <v>22411.4</v>
      </c>
      <c r="U22" s="15">
        <v>177543.2</v>
      </c>
      <c r="V22" s="15">
        <v>17248.599999999999</v>
      </c>
      <c r="W22" s="15"/>
      <c r="X22" s="15">
        <v>972674.9</v>
      </c>
      <c r="Y22" s="15">
        <v>5780473.5</v>
      </c>
      <c r="Z22" s="15">
        <v>82752.600000000006</v>
      </c>
      <c r="AA22" s="15">
        <v>139579.1</v>
      </c>
      <c r="AB22" s="42">
        <v>417047.9</v>
      </c>
    </row>
    <row r="23" spans="2:28" x14ac:dyDescent="0.25">
      <c r="B23" s="21">
        <v>53</v>
      </c>
      <c r="C23" s="12">
        <v>42650</v>
      </c>
      <c r="D23" s="56">
        <v>0.68888888888888899</v>
      </c>
      <c r="E23" s="13">
        <v>216</v>
      </c>
      <c r="F23" s="15">
        <v>321</v>
      </c>
      <c r="G23" s="12">
        <v>42659</v>
      </c>
      <c r="H23" s="18">
        <v>30.4</v>
      </c>
      <c r="I23" s="100" t="s">
        <v>35</v>
      </c>
      <c r="J23" s="15">
        <v>41</v>
      </c>
      <c r="K23" s="14">
        <v>31</v>
      </c>
      <c r="L23" s="58">
        <f t="shared" si="0"/>
        <v>0.75609756097560976</v>
      </c>
      <c r="M23" s="61">
        <v>42660</v>
      </c>
      <c r="N23" s="82">
        <v>1.6157407407407409E-2</v>
      </c>
      <c r="O23" s="84">
        <f t="shared" si="1"/>
        <v>9.3272685185220325</v>
      </c>
      <c r="P23" s="53">
        <v>1097.8</v>
      </c>
      <c r="Q23" s="15">
        <v>4378.3999999999996</v>
      </c>
      <c r="R23" s="15">
        <v>1252.3</v>
      </c>
      <c r="S23" s="15">
        <v>2608.1999999999998</v>
      </c>
      <c r="T23" s="15">
        <v>5269.7</v>
      </c>
      <c r="U23" s="15">
        <v>1096559.8</v>
      </c>
      <c r="V23" s="15">
        <v>3941563</v>
      </c>
      <c r="W23" s="15"/>
      <c r="X23" s="15">
        <v>2536474.1</v>
      </c>
      <c r="Y23" s="15">
        <v>1722403.5</v>
      </c>
      <c r="Z23" s="15">
        <v>76592.3</v>
      </c>
      <c r="AA23" s="15">
        <v>742490.5</v>
      </c>
      <c r="AB23" s="42">
        <v>45490.1</v>
      </c>
    </row>
    <row r="24" spans="2:28" x14ac:dyDescent="0.25">
      <c r="B24" s="21">
        <v>55</v>
      </c>
      <c r="C24" s="12">
        <v>42650</v>
      </c>
      <c r="D24" s="56">
        <v>0.70416666666666661</v>
      </c>
      <c r="E24" s="13">
        <v>216</v>
      </c>
      <c r="F24" s="15">
        <v>265</v>
      </c>
      <c r="G24" s="12">
        <v>42659</v>
      </c>
      <c r="H24" s="14">
        <v>29.4</v>
      </c>
      <c r="I24" s="99" t="s">
        <v>36</v>
      </c>
      <c r="J24" s="15">
        <v>84</v>
      </c>
      <c r="K24" s="105" t="s">
        <v>47</v>
      </c>
      <c r="L24" s="105" t="s">
        <v>47</v>
      </c>
      <c r="M24" s="105" t="s">
        <v>47</v>
      </c>
      <c r="N24" s="105" t="s">
        <v>47</v>
      </c>
      <c r="O24" s="108" t="s">
        <v>47</v>
      </c>
      <c r="P24" s="34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22"/>
    </row>
    <row r="25" spans="2:28" ht="15.75" thickBot="1" x14ac:dyDescent="0.3">
      <c r="B25" s="23"/>
      <c r="C25" s="24"/>
      <c r="D25" s="24"/>
      <c r="E25" s="25"/>
      <c r="F25" s="26"/>
      <c r="G25" s="25"/>
      <c r="H25" s="24"/>
      <c r="I25" s="101"/>
      <c r="J25" s="26"/>
      <c r="K25" s="27"/>
      <c r="L25" s="59"/>
      <c r="M25" s="62"/>
      <c r="N25" s="80"/>
      <c r="O25" s="85"/>
      <c r="P25" s="54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43"/>
    </row>
  </sheetData>
  <autoFilter ref="B4:AB25" xr:uid="{00000000-0009-0000-0000-000001000000}">
    <sortState xmlns:xlrd2="http://schemas.microsoft.com/office/spreadsheetml/2017/richdata2" ref="B6:AB25">
      <sortCondition ref="B4:B25"/>
    </sortState>
  </autoFilter>
  <mergeCells count="15">
    <mergeCell ref="L3:L4"/>
    <mergeCell ref="P3:AB3"/>
    <mergeCell ref="B3:B4"/>
    <mergeCell ref="C3:C4"/>
    <mergeCell ref="E3:E4"/>
    <mergeCell ref="H3:H4"/>
    <mergeCell ref="J3:J4"/>
    <mergeCell ref="K3:K4"/>
    <mergeCell ref="O3:O4"/>
    <mergeCell ref="D3:D4"/>
    <mergeCell ref="M3:M4"/>
    <mergeCell ref="G3:G4"/>
    <mergeCell ref="N3:N4"/>
    <mergeCell ref="I3:I4"/>
    <mergeCell ref="F3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43"/>
  <sheetViews>
    <sheetView showGridLines="0" workbookViewId="0">
      <selection activeCell="M29" sqref="M29"/>
    </sheetView>
  </sheetViews>
  <sheetFormatPr defaultRowHeight="15" x14ac:dyDescent="0.25"/>
  <cols>
    <col min="1" max="1" width="1.42578125" customWidth="1"/>
    <col min="2" max="2" width="9.140625" style="4"/>
    <col min="5" max="6" width="10.7109375" style="5" customWidth="1"/>
    <col min="7" max="7" width="10" style="5" customWidth="1"/>
    <col min="10" max="10" width="12.140625" style="6" customWidth="1"/>
    <col min="11" max="11" width="11.5703125" style="2" customWidth="1"/>
    <col min="12" max="14" width="11.5703125" style="32" customWidth="1"/>
    <col min="15" max="15" width="10" customWidth="1"/>
    <col min="16" max="28" width="10.28515625" style="3" customWidth="1"/>
    <col min="29" max="29" width="4.85546875" customWidth="1"/>
  </cols>
  <sheetData>
    <row r="1" spans="2:28" ht="23.25" x14ac:dyDescent="0.35">
      <c r="B1" s="31" t="s">
        <v>57</v>
      </c>
      <c r="S1" s="94"/>
    </row>
    <row r="2" spans="2:28" ht="11.25" customHeight="1" thickBot="1" x14ac:dyDescent="0.3">
      <c r="B2" s="30"/>
    </row>
    <row r="3" spans="2:28" ht="17.25" customHeight="1" x14ac:dyDescent="0.25">
      <c r="B3" s="187" t="s">
        <v>0</v>
      </c>
      <c r="C3" s="176" t="s">
        <v>31</v>
      </c>
      <c r="D3" s="176" t="s">
        <v>30</v>
      </c>
      <c r="E3" s="176" t="s">
        <v>15</v>
      </c>
      <c r="F3" s="189" t="s">
        <v>46</v>
      </c>
      <c r="G3" s="178" t="s">
        <v>39</v>
      </c>
      <c r="H3" s="176" t="s">
        <v>16</v>
      </c>
      <c r="I3" s="178" t="s">
        <v>34</v>
      </c>
      <c r="J3" s="189" t="s">
        <v>48</v>
      </c>
      <c r="K3" s="195" t="s">
        <v>17</v>
      </c>
      <c r="L3" s="176" t="s">
        <v>49</v>
      </c>
      <c r="M3" s="178" t="s">
        <v>32</v>
      </c>
      <c r="N3" s="180" t="s">
        <v>28</v>
      </c>
      <c r="O3" s="180" t="s">
        <v>40</v>
      </c>
      <c r="P3" s="192" t="s">
        <v>56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4"/>
    </row>
    <row r="4" spans="2:28" s="1" customFormat="1" ht="26.25" thickBot="1" x14ac:dyDescent="0.3">
      <c r="B4" s="188"/>
      <c r="C4" s="177"/>
      <c r="D4" s="177"/>
      <c r="E4" s="177"/>
      <c r="F4" s="190"/>
      <c r="G4" s="179"/>
      <c r="H4" s="177"/>
      <c r="I4" s="179"/>
      <c r="J4" s="190"/>
      <c r="K4" s="196"/>
      <c r="L4" s="177"/>
      <c r="M4" s="179"/>
      <c r="N4" s="181"/>
      <c r="O4" s="181"/>
      <c r="P4" s="36" t="s">
        <v>2</v>
      </c>
      <c r="Q4" s="37" t="s">
        <v>3</v>
      </c>
      <c r="R4" s="37" t="s">
        <v>4</v>
      </c>
      <c r="S4" s="37" t="s">
        <v>5</v>
      </c>
      <c r="T4" s="37" t="s">
        <v>6</v>
      </c>
      <c r="U4" s="37" t="s">
        <v>7</v>
      </c>
      <c r="V4" s="37" t="s">
        <v>45</v>
      </c>
      <c r="W4" s="37" t="s">
        <v>8</v>
      </c>
      <c r="X4" s="37" t="s">
        <v>9</v>
      </c>
      <c r="Y4" s="37" t="s">
        <v>10</v>
      </c>
      <c r="Z4" s="37" t="s">
        <v>11</v>
      </c>
      <c r="AA4" s="37" t="s">
        <v>12</v>
      </c>
      <c r="AB4" s="38" t="s">
        <v>13</v>
      </c>
    </row>
    <row r="5" spans="2:28" x14ac:dyDescent="0.25">
      <c r="B5" s="19">
        <v>11</v>
      </c>
      <c r="C5" s="7">
        <v>42650</v>
      </c>
      <c r="D5" s="55">
        <v>0.41666666666666669</v>
      </c>
      <c r="E5" s="8">
        <v>0</v>
      </c>
      <c r="F5" s="10">
        <v>267</v>
      </c>
      <c r="G5" s="7">
        <v>42650</v>
      </c>
      <c r="H5" s="9">
        <v>29.9</v>
      </c>
      <c r="I5" s="98" t="s">
        <v>36</v>
      </c>
      <c r="J5" s="10">
        <v>267</v>
      </c>
      <c r="K5" s="9">
        <v>189</v>
      </c>
      <c r="L5" s="57">
        <f t="shared" ref="L5:L23" si="0">K5/J5</f>
        <v>0.7078651685393258</v>
      </c>
      <c r="M5" s="60">
        <v>42659</v>
      </c>
      <c r="N5" s="81">
        <v>0.82314814814814818</v>
      </c>
      <c r="O5" s="83">
        <f t="shared" ref="O5:O23" si="1">(M5+N5)-(C5+D5)</f>
        <v>9.4064814814846613</v>
      </c>
      <c r="P5" s="140">
        <f>VLOOKUP($B5,'Raw Gamma CPM'!$B:$AB,15,FALSE)/EXP(-LN(2)/8.03*$O5)*Standards!$H$23/$F5</f>
        <v>3.3686487271887734E-4</v>
      </c>
      <c r="Q5" s="141">
        <f>VLOOKUP($B5,'Raw Gamma CPM'!$B:$AB,16,FALSE)/EXP(-LN(2)/8.03*$O5)*Standards!$H$23/$F5</f>
        <v>2.2175778049853299E-4</v>
      </c>
      <c r="R5" s="141">
        <f>VLOOKUP($B5,'Raw Gamma CPM'!$B:$AB,17,FALSE)/EXP(-LN(2)/8.03*$O5)*Standards!$H$23/$F5</f>
        <v>1.161940336010841E-5</v>
      </c>
      <c r="S5" s="141">
        <f>VLOOKUP($B5,'Raw Gamma CPM'!$B:$AB,18,FALSE)/EXP(-LN(2)/8.03*$O5)*Standards!$H$23/$F5</f>
        <v>3.3205841793324588E-4</v>
      </c>
      <c r="T5" s="141">
        <f>VLOOKUP($B5,'Raw Gamma CPM'!$B:$AB,19,FALSE)/EXP(-LN(2)/8.03*$O5)*Standards!$H$23/$F5</f>
        <v>6.0256551935795877E-4</v>
      </c>
      <c r="U5" s="141">
        <f>VLOOKUP($B5,'Raw Gamma CPM'!$B:$AB,20,FALSE)/EXP(-LN(2)/8.03*$O5)*Standards!$H$23/$F5</f>
        <v>1.7073861075636809E-2</v>
      </c>
      <c r="V5" s="141">
        <f>VLOOKUP($B5,'Raw Gamma CPM'!$B:$AB,21,FALSE)/EXP(-LN(2)/8.03*$O5)*Standards!$H$23/$F5</f>
        <v>1.393478958523961E-2</v>
      </c>
      <c r="W5" s="141"/>
      <c r="X5" s="141">
        <f>VLOOKUP($B5,'Raw Gamma CPM'!$B:$AB,23,FALSE)/EXP(-LN(2)/8.03*$O5)*Standards!$H$23/$F5</f>
        <v>1.713782974977611E-2</v>
      </c>
      <c r="Y5" s="141">
        <f>VLOOKUP($B5,'Raw Gamma CPM'!$B:$AB,24,FALSE)/EXP(-LN(2)/8.03*$O5)*Standards!$H$23/$F5</f>
        <v>7.0110175545237251E-3</v>
      </c>
      <c r="Z5" s="141">
        <f>VLOOKUP($B5,'Raw Gamma CPM'!$B:$AB,25,FALSE)/EXP(-LN(2)/8.03*$O5)*Standards!$H$23/$F5</f>
        <v>2.7331880138841049E-3</v>
      </c>
      <c r="AA5" s="141">
        <f>VLOOKUP($B5,'Raw Gamma CPM'!$B:$AB,26,FALSE)/EXP(-LN(2)/8.03*$O5)*Standards!$H$23/$F5</f>
        <v>8.675451977791954E-3</v>
      </c>
      <c r="AB5" s="142">
        <f>VLOOKUP($B5,'Raw Gamma CPM'!$B:$AB,27,FALSE)/EXP(-LN(2)/8.03*$O5)*Standards!$H$23/$F5</f>
        <v>1.2610876505495068E-2</v>
      </c>
    </row>
    <row r="6" spans="2:28" x14ac:dyDescent="0.25">
      <c r="B6" s="21">
        <v>12</v>
      </c>
      <c r="C6" s="12">
        <v>42650</v>
      </c>
      <c r="D6" s="56">
        <v>0.43194444444444446</v>
      </c>
      <c r="E6" s="13">
        <v>0</v>
      </c>
      <c r="F6" s="15">
        <v>83</v>
      </c>
      <c r="G6" s="12">
        <v>42650</v>
      </c>
      <c r="H6" s="14">
        <v>26.9</v>
      </c>
      <c r="I6" s="99" t="s">
        <v>36</v>
      </c>
      <c r="J6" s="15">
        <v>83</v>
      </c>
      <c r="K6" s="14">
        <v>8.1999999999999993</v>
      </c>
      <c r="L6" s="58">
        <f t="shared" si="0"/>
        <v>9.8795180722891562E-2</v>
      </c>
      <c r="M6" s="61">
        <v>42659</v>
      </c>
      <c r="N6" s="82">
        <v>0.82731481481481473</v>
      </c>
      <c r="O6" s="84">
        <f t="shared" si="1"/>
        <v>9.3953703703737119</v>
      </c>
      <c r="P6" s="140">
        <f>VLOOKUP($B6,'Raw Gamma CPM'!$B:$AB,15,FALSE)/EXP(-LN(2)/8.03*$O6)*Standards!$H$23/$F6</f>
        <v>5.2551616738657559E-4</v>
      </c>
      <c r="Q6" s="141">
        <f>VLOOKUP($B6,'Raw Gamma CPM'!$B:$AB,16,FALSE)/EXP(-LN(2)/8.03*$O6)*Standards!$H$23/$F6</f>
        <v>7.3046537675069262E-4</v>
      </c>
      <c r="R6" s="141">
        <f>VLOOKUP($B6,'Raw Gamma CPM'!$B:$AB,17,FALSE)/EXP(-LN(2)/8.03*$O6)*Standards!$H$23/$F6</f>
        <v>2.2904526442017002E-4</v>
      </c>
      <c r="S6" s="141">
        <f>VLOOKUP($B6,'Raw Gamma CPM'!$B:$AB,18,FALSE)/EXP(-LN(2)/8.03*$O6)*Standards!$H$23/$F6</f>
        <v>1.0090685902981783E-3</v>
      </c>
      <c r="T6" s="141">
        <f>VLOOKUP($B6,'Raw Gamma CPM'!$B:$AB,19,FALSE)/EXP(-LN(2)/8.03*$O6)*Standards!$H$23/$F6</f>
        <v>2.2194150426331455E-3</v>
      </c>
      <c r="U6" s="141">
        <f>VLOOKUP($B6,'Raw Gamma CPM'!$B:$AB,20,FALSE)/EXP(-LN(2)/8.03*$O6)*Standards!$H$23/$F6</f>
        <v>1.1585018581453593E-2</v>
      </c>
      <c r="V6" s="141">
        <f>VLOOKUP($B6,'Raw Gamma CPM'!$B:$AB,21,FALSE)/EXP(-LN(2)/8.03*$O6)*Standards!$H$23/$F6</f>
        <v>3.1402616107708947E-2</v>
      </c>
      <c r="W6" s="141"/>
      <c r="X6" s="141">
        <f>VLOOKUP($B6,'Raw Gamma CPM'!$B:$AB,23,FALSE)/EXP(-LN(2)/8.03*$O6)*Standards!$H$23/$F6</f>
        <v>1.4377265109787931E-2</v>
      </c>
      <c r="Y6" s="141">
        <f>VLOOKUP($B6,'Raw Gamma CPM'!$B:$AB,24,FALSE)/EXP(-LN(2)/8.03*$O6)*Standards!$H$23/$F6</f>
        <v>1.1115180439804683E-2</v>
      </c>
      <c r="Z6" s="141">
        <f>VLOOKUP($B6,'Raw Gamma CPM'!$B:$AB,25,FALSE)/EXP(-LN(2)/8.03*$O6)*Standards!$H$23/$F6</f>
        <v>3.7066740024200443E-3</v>
      </c>
      <c r="AA6" s="141">
        <f>VLOOKUP($B6,'Raw Gamma CPM'!$B:$AB,26,FALSE)/EXP(-LN(2)/8.03*$O6)*Standards!$H$23/$F6</f>
        <v>9.2280694884193278E-3</v>
      </c>
      <c r="AB6" s="142">
        <f>VLOOKUP($B6,'Raw Gamma CPM'!$B:$AB,27,FALSE)/EXP(-LN(2)/8.03*$O6)*Standards!$H$23/$F6</f>
        <v>1.0943947542908096E-2</v>
      </c>
    </row>
    <row r="7" spans="2:28" x14ac:dyDescent="0.25">
      <c r="B7" s="21">
        <v>13</v>
      </c>
      <c r="C7" s="12">
        <v>42650</v>
      </c>
      <c r="D7" s="56">
        <v>0.45</v>
      </c>
      <c r="E7" s="13">
        <v>0</v>
      </c>
      <c r="F7" s="15">
        <v>16.2</v>
      </c>
      <c r="G7" s="12">
        <v>42650</v>
      </c>
      <c r="H7" s="14">
        <v>38.799999999999997</v>
      </c>
      <c r="I7" s="99" t="s">
        <v>36</v>
      </c>
      <c r="J7" s="15">
        <v>16.2</v>
      </c>
      <c r="K7" s="14">
        <v>7.9</v>
      </c>
      <c r="L7" s="58">
        <f t="shared" si="0"/>
        <v>0.48765432098765438</v>
      </c>
      <c r="M7" s="61">
        <v>42659</v>
      </c>
      <c r="N7" s="82">
        <v>0.83148148148148149</v>
      </c>
      <c r="O7" s="84">
        <f t="shared" si="1"/>
        <v>9.3814814814832062</v>
      </c>
      <c r="P7" s="140">
        <f>VLOOKUP($B7,'Raw Gamma CPM'!$B:$AB,15,FALSE)/EXP(-LN(2)/8.03*$O7)*Standards!$H$23/$F7</f>
        <v>1.0545820406022428E-3</v>
      </c>
      <c r="Q7" s="141">
        <f>VLOOKUP($B7,'Raw Gamma CPM'!$B:$AB,16,FALSE)/EXP(-LN(2)/8.03*$O7)*Standards!$H$23/$F7</f>
        <v>5.8665650817026375E-3</v>
      </c>
      <c r="R7" s="141">
        <f>VLOOKUP($B7,'Raw Gamma CPM'!$B:$AB,17,FALSE)/EXP(-LN(2)/8.03*$O7)*Standards!$H$23/$F7</f>
        <v>1.2688769724225613E-3</v>
      </c>
      <c r="S7" s="141">
        <f>VLOOKUP($B7,'Raw Gamma CPM'!$B:$AB,18,FALSE)/EXP(-LN(2)/8.03*$O7)*Standards!$H$23/$F7</f>
        <v>3.1254025591812211E-3</v>
      </c>
      <c r="T7" s="141">
        <f>VLOOKUP($B7,'Raw Gamma CPM'!$B:$AB,19,FALSE)/EXP(-LN(2)/8.03*$O7)*Standards!$H$23/$F7</f>
        <v>6.653439339610428E-3</v>
      </c>
      <c r="U7" s="141">
        <f>VLOOKUP($B7,'Raw Gamma CPM'!$B:$AB,20,FALSE)/EXP(-LN(2)/8.03*$O7)*Standards!$H$23/$F7</f>
        <v>2.0251621840064508E-2</v>
      </c>
      <c r="V7" s="141">
        <f>VLOOKUP($B7,'Raw Gamma CPM'!$B:$AB,21,FALSE)/EXP(-LN(2)/8.03*$O7)*Standards!$H$23/$F7</f>
        <v>4.9236709568505899E-2</v>
      </c>
      <c r="W7" s="141"/>
      <c r="X7" s="141">
        <f>VLOOKUP($B7,'Raw Gamma CPM'!$B:$AB,23,FALSE)/EXP(-LN(2)/8.03*$O7)*Standards!$H$23/$F7</f>
        <v>5.2048749585577496E-3</v>
      </c>
      <c r="Y7" s="141">
        <f>VLOOKUP($B7,'Raw Gamma CPM'!$B:$AB,24,FALSE)/EXP(-LN(2)/8.03*$O7)*Standards!$H$23/$F7</f>
        <v>3.8071940045509955E-2</v>
      </c>
      <c r="Z7" s="141">
        <f>VLOOKUP($B7,'Raw Gamma CPM'!$B:$AB,25,FALSE)/EXP(-LN(2)/8.03*$O7)*Standards!$H$23/$F7</f>
        <v>9.5604176602270465E-3</v>
      </c>
      <c r="AA7" s="141">
        <f>VLOOKUP($B7,'Raw Gamma CPM'!$B:$AB,26,FALSE)/EXP(-LN(2)/8.03*$O7)*Standards!$H$23/$F7</f>
        <v>1.1700828616708635E-2</v>
      </c>
      <c r="AB7" s="142">
        <f>VLOOKUP($B7,'Raw Gamma CPM'!$B:$AB,27,FALSE)/EXP(-LN(2)/8.03*$O7)*Standards!$H$23/$F7</f>
        <v>2.179364083436015E-2</v>
      </c>
    </row>
    <row r="8" spans="2:28" x14ac:dyDescent="0.25">
      <c r="B8" s="21">
        <v>14</v>
      </c>
      <c r="C8" s="12">
        <v>42650</v>
      </c>
      <c r="D8" s="56">
        <v>0.46249999999999997</v>
      </c>
      <c r="E8" s="13">
        <v>0</v>
      </c>
      <c r="F8" s="15">
        <v>26.9</v>
      </c>
      <c r="G8" s="12">
        <v>42650</v>
      </c>
      <c r="H8" s="14">
        <v>30.3</v>
      </c>
      <c r="I8" s="99" t="s">
        <v>36</v>
      </c>
      <c r="J8" s="15">
        <v>26.9</v>
      </c>
      <c r="K8" s="14">
        <v>12.3</v>
      </c>
      <c r="L8" s="58">
        <f t="shared" si="0"/>
        <v>0.45724907063197029</v>
      </c>
      <c r="M8" s="61">
        <v>42659</v>
      </c>
      <c r="N8" s="82">
        <v>0.83564814814814825</v>
      </c>
      <c r="O8" s="84">
        <f t="shared" si="1"/>
        <v>9.3731481481445371</v>
      </c>
      <c r="P8" s="140">
        <f>VLOOKUP($B8,'Raw Gamma CPM'!$B:$AB,15,FALSE)/EXP(-LN(2)/8.03*$O8)*Standards!$H$23/$F8</f>
        <v>1.6361668170556862E-3</v>
      </c>
      <c r="Q8" s="141">
        <f>VLOOKUP($B8,'Raw Gamma CPM'!$B:$AB,16,FALSE)/EXP(-LN(2)/8.03*$O8)*Standards!$H$23/$F8</f>
        <v>1.8454021885478762E-3</v>
      </c>
      <c r="R8" s="141">
        <f>VLOOKUP($B8,'Raw Gamma CPM'!$B:$AB,17,FALSE)/EXP(-LN(2)/8.03*$O8)*Standards!$H$23/$F8</f>
        <v>1.3255517982142733E-4</v>
      </c>
      <c r="S8" s="141">
        <f>VLOOKUP($B8,'Raw Gamma CPM'!$B:$AB,18,FALSE)/EXP(-LN(2)/8.03*$O8)*Standards!$H$23/$F8</f>
        <v>9.7615562182893495E-4</v>
      </c>
      <c r="T8" s="141">
        <f>VLOOKUP($B8,'Raw Gamma CPM'!$B:$AB,19,FALSE)/EXP(-LN(2)/8.03*$O8)*Standards!$H$23/$F8</f>
        <v>3.2659758909467517E-3</v>
      </c>
      <c r="U8" s="141">
        <f>VLOOKUP($B8,'Raw Gamma CPM'!$B:$AB,20,FALSE)/EXP(-LN(2)/8.03*$O8)*Standards!$H$23/$F8</f>
        <v>2.0203014439100522E-2</v>
      </c>
      <c r="V8" s="141">
        <f>VLOOKUP($B8,'Raw Gamma CPM'!$B:$AB,21,FALSE)/EXP(-LN(2)/8.03*$O8)*Standards!$H$23/$F8</f>
        <v>4.4752778076722823E-2</v>
      </c>
      <c r="W8" s="141"/>
      <c r="X8" s="141">
        <f>VLOOKUP($B8,'Raw Gamma CPM'!$B:$AB,23,FALSE)/EXP(-LN(2)/8.03*$O8)*Standards!$H$23/$F8</f>
        <v>4.5744058887874021E-2</v>
      </c>
      <c r="Y8" s="141">
        <f>VLOOKUP($B8,'Raw Gamma CPM'!$B:$AB,24,FALSE)/EXP(-LN(2)/8.03*$O8)*Standards!$H$23/$F8</f>
        <v>7.6272855046518068E-2</v>
      </c>
      <c r="Z8" s="141">
        <f>VLOOKUP($B8,'Raw Gamma CPM'!$B:$AB,25,FALSE)/EXP(-LN(2)/8.03*$O8)*Standards!$H$23/$F8</f>
        <v>1.6218667358564798E-2</v>
      </c>
      <c r="AA8" s="141">
        <f>VLOOKUP($B8,'Raw Gamma CPM'!$B:$AB,26,FALSE)/EXP(-LN(2)/8.03*$O8)*Standards!$H$23/$F8</f>
        <v>9.6431580435519179E-3</v>
      </c>
      <c r="AB8" s="142">
        <f>VLOOKUP($B8,'Raw Gamma CPM'!$B:$AB,27,FALSE)/EXP(-LN(2)/8.03*$O8)*Standards!$H$23/$F8</f>
        <v>3.8916832428514306E-2</v>
      </c>
    </row>
    <row r="9" spans="2:28" x14ac:dyDescent="0.25">
      <c r="B9" s="21">
        <v>41</v>
      </c>
      <c r="C9" s="12">
        <v>42650</v>
      </c>
      <c r="D9" s="56">
        <v>0.60138888888888886</v>
      </c>
      <c r="E9" s="13">
        <v>24</v>
      </c>
      <c r="F9" s="15">
        <v>103.7</v>
      </c>
      <c r="G9" s="12">
        <v>42651</v>
      </c>
      <c r="H9" s="14">
        <v>31.1</v>
      </c>
      <c r="I9" s="99" t="s">
        <v>35</v>
      </c>
      <c r="J9" s="15">
        <v>92.9</v>
      </c>
      <c r="K9" s="14">
        <v>80</v>
      </c>
      <c r="L9" s="58">
        <f t="shared" si="0"/>
        <v>0.86114101184068881</v>
      </c>
      <c r="M9" s="61">
        <v>42659</v>
      </c>
      <c r="N9" s="82">
        <v>0.89684027777777775</v>
      </c>
      <c r="O9" s="84">
        <f t="shared" si="1"/>
        <v>9.2954513888835208</v>
      </c>
      <c r="P9" s="140">
        <f>VLOOKUP($B9,'Raw Gamma CPM'!$B:$AB,15,FALSE)/EXP(-LN(2)/8.03*$O9)*Standards!$H$23/$F9</f>
        <v>2.4628260878523223E-5</v>
      </c>
      <c r="Q9" s="141">
        <f>VLOOKUP($B9,'Raw Gamma CPM'!$B:$AB,16,FALSE)/EXP(-LN(2)/8.03*$O9)*Standards!$H$23/$F9</f>
        <v>1.0616097087368024E-3</v>
      </c>
      <c r="R9" s="141">
        <f>VLOOKUP($B9,'Raw Gamma CPM'!$B:$AB,17,FALSE)/EXP(-LN(2)/8.03*$O9)*Standards!$H$23/$F9</f>
        <v>1.1762579358832962E-3</v>
      </c>
      <c r="S9" s="141">
        <f>VLOOKUP($B9,'Raw Gamma CPM'!$B:$AB,18,FALSE)/EXP(-LN(2)/8.03*$O9)*Standards!$H$23/$F9</f>
        <v>3.8368529778336354E-4</v>
      </c>
      <c r="T9" s="141">
        <f>VLOOKUP($B9,'Raw Gamma CPM'!$B:$AB,19,FALSE)/EXP(-LN(2)/8.03*$O9)*Standards!$H$23/$F9</f>
        <v>9.0236173847996063E-4</v>
      </c>
      <c r="U9" s="141">
        <f>VLOOKUP($B9,'Raw Gamma CPM'!$B:$AB,20,FALSE)/EXP(-LN(2)/8.03*$O9)*Standards!$H$23/$F9</f>
        <v>1.7726166513261639E-3</v>
      </c>
      <c r="V9" s="141">
        <f>VLOOKUP($B9,'Raw Gamma CPM'!$B:$AB,21,FALSE)/EXP(-LN(2)/8.03*$O9)*Standards!$H$23/$F9</f>
        <v>4.4167133917853403E-3</v>
      </c>
      <c r="W9" s="141"/>
      <c r="X9" s="141">
        <f>VLOOKUP($B9,'Raw Gamma CPM'!$B:$AB,23,FALSE)/EXP(-LN(2)/8.03*$O9)*Standards!$H$23/$F9</f>
        <v>4.4831223815577281E-3</v>
      </c>
      <c r="Y9" s="141">
        <f>VLOOKUP($B9,'Raw Gamma CPM'!$B:$AB,24,FALSE)/EXP(-LN(2)/8.03*$O9)*Standards!$H$23/$F9</f>
        <v>7.5723129163115582E-3</v>
      </c>
      <c r="Z9" s="141">
        <f>VLOOKUP($B9,'Raw Gamma CPM'!$B:$AB,25,FALSE)/EXP(-LN(2)/8.03*$O9)*Standards!$H$23/$F9</f>
        <v>8.055672680378638E-4</v>
      </c>
      <c r="AA9" s="141">
        <f>VLOOKUP($B9,'Raw Gamma CPM'!$B:$AB,26,FALSE)/EXP(-LN(2)/8.03*$O9)*Standards!$H$23/$F9</f>
        <v>9.4475782740928123E-4</v>
      </c>
      <c r="AB9" s="142">
        <f>VLOOKUP($B9,'Raw Gamma CPM'!$B:$AB,27,FALSE)/EXP(-LN(2)/8.03*$O9)*Standards!$H$23/$F9</f>
        <v>1.1548797184352816E-2</v>
      </c>
    </row>
    <row r="10" spans="2:28" x14ac:dyDescent="0.25">
      <c r="B10" s="21">
        <v>42</v>
      </c>
      <c r="C10" s="12">
        <v>42650</v>
      </c>
      <c r="D10" s="56">
        <v>0.61388888888888882</v>
      </c>
      <c r="E10" s="13">
        <v>24</v>
      </c>
      <c r="F10" s="15">
        <v>33.700000000000003</v>
      </c>
      <c r="G10" s="12">
        <v>42651</v>
      </c>
      <c r="H10" s="14">
        <v>29.6</v>
      </c>
      <c r="I10" s="99" t="s">
        <v>35</v>
      </c>
      <c r="J10" s="15">
        <v>21.7</v>
      </c>
      <c r="K10" s="14">
        <v>16.600000000000001</v>
      </c>
      <c r="L10" s="58">
        <f t="shared" si="0"/>
        <v>0.76497695852534575</v>
      </c>
      <c r="M10" s="61">
        <v>42659</v>
      </c>
      <c r="N10" s="82">
        <v>0.90100694444444451</v>
      </c>
      <c r="O10" s="84">
        <f t="shared" si="1"/>
        <v>9.2871180555521278</v>
      </c>
      <c r="P10" s="140">
        <f>VLOOKUP($B10,'Raw Gamma CPM'!$B:$AB,15,FALSE)/EXP(-LN(2)/8.03*$O10)*Standards!$H$23/$F10</f>
        <v>1.0094260226972469E-4</v>
      </c>
      <c r="Q10" s="141">
        <f>VLOOKUP($B10,'Raw Gamma CPM'!$B:$AB,16,FALSE)/EXP(-LN(2)/8.03*$O10)*Standards!$H$23/$F10</f>
        <v>7.3303779642009043E-4</v>
      </c>
      <c r="R10" s="141">
        <f>VLOOKUP($B10,'Raw Gamma CPM'!$B:$AB,17,FALSE)/EXP(-LN(2)/8.03*$O10)*Standards!$H$23/$F10</f>
        <v>3.1029430343910552E-4</v>
      </c>
      <c r="S10" s="141">
        <f>VLOOKUP($B10,'Raw Gamma CPM'!$B:$AB,18,FALSE)/EXP(-LN(2)/8.03*$O10)*Standards!$H$23/$F10</f>
        <v>2.4538010442819424E-4</v>
      </c>
      <c r="T10" s="141">
        <f>VLOOKUP($B10,'Raw Gamma CPM'!$B:$AB,19,FALSE)/EXP(-LN(2)/8.03*$O10)*Standards!$H$23/$F10</f>
        <v>6.8419872599827832E-4</v>
      </c>
      <c r="U10" s="141">
        <f>VLOOKUP($B10,'Raw Gamma CPM'!$B:$AB,20,FALSE)/EXP(-LN(2)/8.03*$O10)*Standards!$H$23/$F10</f>
        <v>1.1302417796956798E-2</v>
      </c>
      <c r="V10" s="141">
        <f>VLOOKUP($B10,'Raw Gamma CPM'!$B:$AB,21,FALSE)/EXP(-LN(2)/8.03*$O10)*Standards!$H$23/$F10</f>
        <v>2.4826212098695989E-2</v>
      </c>
      <c r="W10" s="141"/>
      <c r="X10" s="141">
        <f>VLOOKUP($B10,'Raw Gamma CPM'!$B:$AB,23,FALSE)/EXP(-LN(2)/8.03*$O10)*Standards!$H$23/$F10</f>
        <v>2.1952693367715742E-2</v>
      </c>
      <c r="Y10" s="141">
        <f>VLOOKUP($B10,'Raw Gamma CPM'!$B:$AB,24,FALSE)/EXP(-LN(2)/8.03*$O10)*Standards!$H$23/$F10</f>
        <v>3.3898099261440551E-2</v>
      </c>
      <c r="Z10" s="141">
        <f>VLOOKUP($B10,'Raw Gamma CPM'!$B:$AB,25,FALSE)/EXP(-LN(2)/8.03*$O10)*Standards!$H$23/$F10</f>
        <v>3.535616286018011E-3</v>
      </c>
      <c r="AA10" s="141">
        <f>VLOOKUP($B10,'Raw Gamma CPM'!$B:$AB,26,FALSE)/EXP(-LN(2)/8.03*$O10)*Standards!$H$23/$F10</f>
        <v>9.2628027540845475E-4</v>
      </c>
      <c r="AB10" s="142">
        <f>VLOOKUP($B10,'Raw Gamma CPM'!$B:$AB,27,FALSE)/EXP(-LN(2)/8.03*$O10)*Standards!$H$23/$F10</f>
        <v>6.2836620753438984E-3</v>
      </c>
    </row>
    <row r="11" spans="2:28" x14ac:dyDescent="0.25">
      <c r="B11" s="21">
        <v>51</v>
      </c>
      <c r="C11" s="12">
        <v>42650</v>
      </c>
      <c r="D11" s="56">
        <v>0.66041666666666665</v>
      </c>
      <c r="E11" s="13">
        <v>24</v>
      </c>
      <c r="F11" s="15">
        <v>154</v>
      </c>
      <c r="G11" s="12">
        <v>42651</v>
      </c>
      <c r="H11" s="14">
        <v>26.6</v>
      </c>
      <c r="I11" s="99" t="s">
        <v>35</v>
      </c>
      <c r="J11" s="15">
        <v>134.69999999999999</v>
      </c>
      <c r="K11" s="14">
        <v>133.6</v>
      </c>
      <c r="L11" s="58">
        <f t="shared" si="0"/>
        <v>0.99183370452858211</v>
      </c>
      <c r="M11" s="61">
        <v>42659</v>
      </c>
      <c r="N11" s="82">
        <v>0.90517361111111105</v>
      </c>
      <c r="O11" s="84">
        <f t="shared" si="1"/>
        <v>9.2447569444484543</v>
      </c>
      <c r="P11" s="140">
        <f>VLOOKUP($B11,'Raw Gamma CPM'!$B:$AB,15,FALSE)/EXP(-LN(2)/8.03*$O11)*Standards!$H$23/$F11</f>
        <v>4.6548636202777555E-5</v>
      </c>
      <c r="Q11" s="141">
        <f>VLOOKUP($B11,'Raw Gamma CPM'!$B:$AB,16,FALSE)/EXP(-LN(2)/8.03*$O11)*Standards!$H$23/$F11</f>
        <v>2.2951703791072495E-4</v>
      </c>
      <c r="R11" s="141">
        <f>VLOOKUP($B11,'Raw Gamma CPM'!$B:$AB,17,FALSE)/EXP(-LN(2)/8.03*$O11)*Standards!$H$23/$F11</f>
        <v>1.4560386643594782E-5</v>
      </c>
      <c r="S11" s="141">
        <f>VLOOKUP($B11,'Raw Gamma CPM'!$B:$AB,18,FALSE)/EXP(-LN(2)/8.03*$O11)*Standards!$H$23/$F11</f>
        <v>1.2035223481971733E-4</v>
      </c>
      <c r="T11" s="141">
        <f>VLOOKUP($B11,'Raw Gamma CPM'!$B:$AB,19,FALSE)/EXP(-LN(2)/8.03*$O11)*Standards!$H$23/$F11</f>
        <v>1.5473964955527292E-4</v>
      </c>
      <c r="U11" s="141">
        <f>VLOOKUP($B11,'Raw Gamma CPM'!$B:$AB,20,FALSE)/EXP(-LN(2)/8.03*$O11)*Standards!$H$23/$F11</f>
        <v>5.5141680213071113E-3</v>
      </c>
      <c r="V11" s="141">
        <f>VLOOKUP($B11,'Raw Gamma CPM'!$B:$AB,21,FALSE)/EXP(-LN(2)/8.03*$O11)*Standards!$H$23/$F11</f>
        <v>8.2044573035704442E-4</v>
      </c>
      <c r="W11" s="141"/>
      <c r="X11" s="141">
        <f>VLOOKUP($B11,'Raw Gamma CPM'!$B:$AB,23,FALSE)/EXP(-LN(2)/8.03*$O11)*Standards!$H$23/$F11</f>
        <v>2.4606291492956117E-3</v>
      </c>
      <c r="Y11" s="141">
        <f>VLOOKUP($B11,'Raw Gamma CPM'!$B:$AB,24,FALSE)/EXP(-LN(2)/8.03*$O11)*Standards!$H$23/$F11</f>
        <v>4.0504691254549851E-3</v>
      </c>
      <c r="Z11" s="141">
        <f>VLOOKUP($B11,'Raw Gamma CPM'!$B:$AB,25,FALSE)/EXP(-LN(2)/8.03*$O11)*Standards!$H$23/$F11</f>
        <v>9.3458726802770058E-4</v>
      </c>
      <c r="AA11" s="141">
        <f>VLOOKUP($B11,'Raw Gamma CPM'!$B:$AB,26,FALSE)/EXP(-LN(2)/8.03*$O11)*Standards!$H$23/$F11</f>
        <v>1.2902342359814915E-4</v>
      </c>
      <c r="AB11" s="142">
        <f>VLOOKUP($B11,'Raw Gamma CPM'!$B:$AB,27,FALSE)/EXP(-LN(2)/8.03*$O11)*Standards!$H$23/$F11</f>
        <v>6.6752283051240043E-3</v>
      </c>
    </row>
    <row r="12" spans="2:28" x14ac:dyDescent="0.25">
      <c r="B12" s="21">
        <v>52</v>
      </c>
      <c r="C12" s="12">
        <v>42650</v>
      </c>
      <c r="D12" s="56">
        <v>0.67222222222222217</v>
      </c>
      <c r="E12" s="13">
        <v>24</v>
      </c>
      <c r="F12" s="15">
        <v>207</v>
      </c>
      <c r="G12" s="12">
        <v>42651</v>
      </c>
      <c r="H12" s="14">
        <v>28.2</v>
      </c>
      <c r="I12" s="99" t="s">
        <v>35</v>
      </c>
      <c r="J12" s="15">
        <v>159.69999999999999</v>
      </c>
      <c r="K12" s="14">
        <v>82.5</v>
      </c>
      <c r="L12" s="58">
        <f t="shared" si="0"/>
        <v>0.51659361302442086</v>
      </c>
      <c r="M12" s="61">
        <v>42659</v>
      </c>
      <c r="N12" s="82">
        <v>0.90934027777777782</v>
      </c>
      <c r="O12" s="84">
        <f t="shared" si="1"/>
        <v>9.2371180555564933</v>
      </c>
      <c r="P12" s="140">
        <f>VLOOKUP($B12,'Raw Gamma CPM'!$B:$AB,15,FALSE)/EXP(-LN(2)/8.03*$O12)*Standards!$H$23/$F12</f>
        <v>1.5783550484213549E-4</v>
      </c>
      <c r="Q12" s="141">
        <f>VLOOKUP($B12,'Raw Gamma CPM'!$B:$AB,16,FALSE)/EXP(-LN(2)/8.03*$O12)*Standards!$H$23/$F12</f>
        <v>5.255988492258736E-4</v>
      </c>
      <c r="R12" s="141">
        <f>VLOOKUP($B12,'Raw Gamma CPM'!$B:$AB,17,FALSE)/EXP(-LN(2)/8.03*$O12)*Standards!$H$23/$F12</f>
        <v>4.8237532327997714E-5</v>
      </c>
      <c r="S12" s="141">
        <f>VLOOKUP($B12,'Raw Gamma CPM'!$B:$AB,18,FALSE)/EXP(-LN(2)/8.03*$O12)*Standards!$H$23/$F12</f>
        <v>1.8269414436452924E-4</v>
      </c>
      <c r="T12" s="141">
        <f>VLOOKUP($B12,'Raw Gamma CPM'!$B:$AB,19,FALSE)/EXP(-LN(2)/8.03*$O12)*Standards!$H$23/$F12</f>
        <v>3.096470174478527E-4</v>
      </c>
      <c r="U12" s="141">
        <f>VLOOKUP($B12,'Raw Gamma CPM'!$B:$AB,20,FALSE)/EXP(-LN(2)/8.03*$O12)*Standards!$H$23/$F12</f>
        <v>2.4530249046533282E-3</v>
      </c>
      <c r="V12" s="141">
        <f>VLOOKUP($B12,'Raw Gamma CPM'!$B:$AB,21,FALSE)/EXP(-LN(2)/8.03*$O12)*Standards!$H$23/$F12</f>
        <v>2.3831521213092579E-4</v>
      </c>
      <c r="W12" s="141"/>
      <c r="X12" s="141">
        <f>VLOOKUP($B12,'Raw Gamma CPM'!$B:$AB,23,FALSE)/EXP(-LN(2)/8.03*$O12)*Standards!$H$23/$F12</f>
        <v>1.3438958821465339E-2</v>
      </c>
      <c r="Y12" s="141">
        <f>VLOOKUP($B12,'Raw Gamma CPM'!$B:$AB,24,FALSE)/EXP(-LN(2)/8.03*$O12)*Standards!$H$23/$F12</f>
        <v>7.9865888731241688E-2</v>
      </c>
      <c r="Z12" s="141">
        <f>VLOOKUP($B12,'Raw Gamma CPM'!$B:$AB,25,FALSE)/EXP(-LN(2)/8.03*$O12)*Standards!$H$23/$F12</f>
        <v>1.143350963172991E-3</v>
      </c>
      <c r="AA12" s="141">
        <f>VLOOKUP($B12,'Raw Gamma CPM'!$B:$AB,26,FALSE)/EXP(-LN(2)/8.03*$O12)*Standards!$H$23/$F12</f>
        <v>1.9284940705647827E-3</v>
      </c>
      <c r="AB12" s="142">
        <f>VLOOKUP($B12,'Raw Gamma CPM'!$B:$AB,27,FALSE)/EXP(-LN(2)/8.03*$O12)*Standards!$H$23/$F12</f>
        <v>5.7621406234278231E-3</v>
      </c>
    </row>
    <row r="13" spans="2:28" x14ac:dyDescent="0.25">
      <c r="B13" s="21">
        <v>22</v>
      </c>
      <c r="C13" s="12">
        <v>42650</v>
      </c>
      <c r="D13" s="56">
        <v>0.48541666666666666</v>
      </c>
      <c r="E13" s="13">
        <v>48</v>
      </c>
      <c r="F13" s="15">
        <v>10</v>
      </c>
      <c r="G13" s="12">
        <v>42652</v>
      </c>
      <c r="H13" s="14">
        <v>30.8</v>
      </c>
      <c r="I13" s="99" t="s">
        <v>35</v>
      </c>
      <c r="J13" s="15">
        <v>1.9</v>
      </c>
      <c r="K13" s="14">
        <v>1.1000000000000001</v>
      </c>
      <c r="L13" s="58">
        <f t="shared" si="0"/>
        <v>0.57894736842105265</v>
      </c>
      <c r="M13" s="61">
        <v>42659</v>
      </c>
      <c r="N13" s="82">
        <v>0.93465277777777767</v>
      </c>
      <c r="O13" s="84">
        <f t="shared" si="1"/>
        <v>9.4492361111042555</v>
      </c>
      <c r="P13" s="140">
        <f>VLOOKUP($B13,'Raw Gamma CPM'!$B:$AB,15,FALSE)/EXP(-LN(2)/8.03*$O13)*Standards!$H$23/$F13</f>
        <v>5.5373540689549848E-5</v>
      </c>
      <c r="Q13" s="141">
        <f>VLOOKUP($B13,'Raw Gamma CPM'!$B:$AB,16,FALSE)/EXP(-LN(2)/8.03*$O13)*Standards!$H$23/$F13</f>
        <v>1.1934294242985518E-3</v>
      </c>
      <c r="R13" s="141">
        <f>VLOOKUP($B13,'Raw Gamma CPM'!$B:$AB,17,FALSE)/EXP(-LN(2)/8.03*$O13)*Standards!$H$23/$F13</f>
        <v>2.1051266626163955E-4</v>
      </c>
      <c r="S13" s="141">
        <f>VLOOKUP($B13,'Raw Gamma CPM'!$B:$AB,18,FALSE)/EXP(-LN(2)/8.03*$O13)*Standards!$H$23/$F13</f>
        <v>1.9996809933390831E-4</v>
      </c>
      <c r="T13" s="141">
        <f>VLOOKUP($B13,'Raw Gamma CPM'!$B:$AB,19,FALSE)/EXP(-LN(2)/8.03*$O13)*Standards!$H$23/$F13</f>
        <v>4.4665853389455943E-4</v>
      </c>
      <c r="U13" s="141">
        <f>VLOOKUP($B13,'Raw Gamma CPM'!$B:$AB,20,FALSE)/EXP(-LN(2)/8.03*$O13)*Standards!$H$23/$F13</f>
        <v>8.6244071159189469E-3</v>
      </c>
      <c r="V13" s="141">
        <f>VLOOKUP($B13,'Raw Gamma CPM'!$B:$AB,21,FALSE)/EXP(-LN(2)/8.03*$O13)*Standards!$H$23/$F13</f>
        <v>1.0377951118817895E-2</v>
      </c>
      <c r="W13" s="141"/>
      <c r="X13" s="141">
        <f>VLOOKUP($B13,'Raw Gamma CPM'!$B:$AB,23,FALSE)/EXP(-LN(2)/8.03*$O13)*Standards!$H$23/$F13</f>
        <v>8.7218424097677359E-3</v>
      </c>
      <c r="Y13" s="141">
        <f>VLOOKUP($B13,'Raw Gamma CPM'!$B:$AB,24,FALSE)/EXP(-LN(2)/8.03*$O13)*Standards!$H$23/$F13</f>
        <v>1.656210659282888E-2</v>
      </c>
      <c r="Z13" s="141">
        <f>VLOOKUP($B13,'Raw Gamma CPM'!$B:$AB,25,FALSE)/EXP(-LN(2)/8.03*$O13)*Standards!$H$23/$F13</f>
        <v>2.2858698609218432E-3</v>
      </c>
      <c r="AA13" s="141">
        <f>VLOOKUP($B13,'Raw Gamma CPM'!$B:$AB,26,FALSE)/EXP(-LN(2)/8.03*$O13)*Standards!$H$23/$F13</f>
        <v>2.1601797882888039E-3</v>
      </c>
      <c r="AB13" s="142">
        <f>VLOOKUP($B13,'Raw Gamma CPM'!$B:$AB,27,FALSE)/EXP(-LN(2)/8.03*$O13)*Standards!$H$23/$F13</f>
        <v>4.6980997531489302E-3</v>
      </c>
    </row>
    <row r="14" spans="2:28" x14ac:dyDescent="0.25">
      <c r="B14" s="21">
        <v>24</v>
      </c>
      <c r="C14" s="12">
        <v>42650</v>
      </c>
      <c r="D14" s="56">
        <v>0.50972222222222219</v>
      </c>
      <c r="E14" s="13">
        <v>48</v>
      </c>
      <c r="F14" s="15">
        <v>69</v>
      </c>
      <c r="G14" s="12">
        <v>42652</v>
      </c>
      <c r="H14" s="14">
        <v>27.8</v>
      </c>
      <c r="I14" s="99" t="s">
        <v>35</v>
      </c>
      <c r="J14" s="15">
        <v>46.7</v>
      </c>
      <c r="K14" s="14">
        <v>45</v>
      </c>
      <c r="L14" s="58">
        <f t="shared" si="0"/>
        <v>0.9635974304068522</v>
      </c>
      <c r="M14" s="61">
        <v>42659</v>
      </c>
      <c r="N14" s="82">
        <v>0.93881944444444443</v>
      </c>
      <c r="O14" s="84">
        <f t="shared" si="1"/>
        <v>9.4290972222224809</v>
      </c>
      <c r="P14" s="140">
        <f>VLOOKUP($B14,'Raw Gamma CPM'!$B:$AB,15,FALSE)/EXP(-LN(2)/8.03*$O14)*Standards!$H$23/$F14</f>
        <v>6.9631382696076514E-5</v>
      </c>
      <c r="Q14" s="141">
        <f>VLOOKUP($B14,'Raw Gamma CPM'!$B:$AB,16,FALSE)/EXP(-LN(2)/8.03*$O14)*Standards!$H$23/$F14</f>
        <v>1.2696570222522503E-4</v>
      </c>
      <c r="R14" s="141">
        <f>VLOOKUP($B14,'Raw Gamma CPM'!$B:$AB,17,FALSE)/EXP(-LN(2)/8.03*$O14)*Standards!$H$23/$F14</f>
        <v>3.4219380711259527E-5</v>
      </c>
      <c r="S14" s="141">
        <f>VLOOKUP($B14,'Raw Gamma CPM'!$B:$AB,18,FALSE)/EXP(-LN(2)/8.03*$O14)*Standards!$H$23/$F14</f>
        <v>7.5379564382056549E-5</v>
      </c>
      <c r="T14" s="141">
        <f>VLOOKUP($B14,'Raw Gamma CPM'!$B:$AB,19,FALSE)/EXP(-LN(2)/8.03*$O14)*Standards!$H$23/$F14</f>
        <v>9.7154384595736116E-5</v>
      </c>
      <c r="U14" s="141">
        <f>VLOOKUP($B14,'Raw Gamma CPM'!$B:$AB,20,FALSE)/EXP(-LN(2)/8.03*$O14)*Standards!$H$23/$F14</f>
        <v>9.1852066269269763E-4</v>
      </c>
      <c r="V14" s="141">
        <f>VLOOKUP($B14,'Raw Gamma CPM'!$B:$AB,21,FALSE)/EXP(-LN(2)/8.03*$O14)*Standards!$H$23/$F14</f>
        <v>1.331690185315026E-4</v>
      </c>
      <c r="W14" s="141"/>
      <c r="X14" s="141">
        <f>VLOOKUP($B14,'Raw Gamma CPM'!$B:$AB,23,FALSE)/EXP(-LN(2)/8.03*$O14)*Standards!$H$23/$F14</f>
        <v>1.4721826570238716E-2</v>
      </c>
      <c r="Y14" s="141">
        <f>VLOOKUP($B14,'Raw Gamma CPM'!$B:$AB,24,FALSE)/EXP(-LN(2)/8.03*$O14)*Standards!$H$23/$F14</f>
        <v>2.1417708105123871E-3</v>
      </c>
      <c r="Z14" s="141">
        <f>VLOOKUP($B14,'Raw Gamma CPM'!$B:$AB,25,FALSE)/EXP(-LN(2)/8.03*$O14)*Standards!$H$23/$F14</f>
        <v>2.2676956030041537E-3</v>
      </c>
      <c r="AA14" s="141">
        <f>VLOOKUP($B14,'Raw Gamma CPM'!$B:$AB,26,FALSE)/EXP(-LN(2)/8.03*$O14)*Standards!$H$23/$F14</f>
        <v>2.3528352764659247E-4</v>
      </c>
      <c r="AB14" s="142">
        <f>VLOOKUP($B14,'Raw Gamma CPM'!$B:$AB,27,FALSE)/EXP(-LN(2)/8.03*$O14)*Standards!$H$23/$F14</f>
        <v>9.4866068865906807E-4</v>
      </c>
    </row>
    <row r="15" spans="2:28" x14ac:dyDescent="0.25">
      <c r="B15" s="21">
        <v>25</v>
      </c>
      <c r="C15" s="12">
        <v>42650</v>
      </c>
      <c r="D15" s="56">
        <v>0.52013888888888882</v>
      </c>
      <c r="E15" s="13">
        <v>48</v>
      </c>
      <c r="F15" s="17">
        <v>1.1000000000000001</v>
      </c>
      <c r="G15" s="12">
        <v>42652</v>
      </c>
      <c r="H15" s="14">
        <v>29.1</v>
      </c>
      <c r="I15" s="99" t="s">
        <v>35</v>
      </c>
      <c r="J15" s="17">
        <v>0.22</v>
      </c>
      <c r="K15" s="14">
        <v>0.19</v>
      </c>
      <c r="L15" s="58">
        <f t="shared" si="0"/>
        <v>0.86363636363636365</v>
      </c>
      <c r="M15" s="61">
        <v>42659</v>
      </c>
      <c r="N15" s="82">
        <v>0.94298611111111119</v>
      </c>
      <c r="O15" s="84">
        <f t="shared" si="1"/>
        <v>9.4228472222239361</v>
      </c>
      <c r="P15" s="140">
        <f>VLOOKUP($B15,'Raw Gamma CPM'!$B:$AB,15,FALSE)/EXP(-LN(2)/8.03*$O15)*Standards!$H$23/$F15</f>
        <v>1.1651365075369454E-4</v>
      </c>
      <c r="Q15" s="141">
        <f>VLOOKUP($B15,'Raw Gamma CPM'!$B:$AB,16,FALSE)/EXP(-LN(2)/8.03*$O15)*Standards!$H$23/$F15</f>
        <v>1.4626294117289185E-3</v>
      </c>
      <c r="R15" s="141">
        <f>VLOOKUP($B15,'Raw Gamma CPM'!$B:$AB,17,FALSE)/EXP(-LN(2)/8.03*$O15)*Standards!$H$23/$F15</f>
        <v>1.7086026744311623E-2</v>
      </c>
      <c r="S15" s="141">
        <f>VLOOKUP($B15,'Raw Gamma CPM'!$B:$AB,18,FALSE)/EXP(-LN(2)/8.03*$O15)*Standards!$H$23/$F15</f>
        <v>3.6010908384872034E-4</v>
      </c>
      <c r="T15" s="141">
        <f>VLOOKUP($B15,'Raw Gamma CPM'!$B:$AB,19,FALSE)/EXP(-LN(2)/8.03*$O15)*Standards!$H$23/$F15</f>
        <v>1.1434718377822902E-3</v>
      </c>
      <c r="U15" s="141">
        <f>VLOOKUP($B15,'Raw Gamma CPM'!$B:$AB,20,FALSE)/EXP(-LN(2)/8.03*$O15)*Standards!$H$23/$F15</f>
        <v>5.3773295550792397E-3</v>
      </c>
      <c r="V15" s="141">
        <f>VLOOKUP($B15,'Raw Gamma CPM'!$B:$AB,21,FALSE)/EXP(-LN(2)/8.03*$O15)*Standards!$H$23/$F15</f>
        <v>1.3331697997803688E-3</v>
      </c>
      <c r="W15" s="141"/>
      <c r="X15" s="141">
        <f>VLOOKUP($B15,'Raw Gamma CPM'!$B:$AB,23,FALSE)/EXP(-LN(2)/8.03*$O15)*Standards!$H$23/$F15</f>
        <v>3.8481209143482109E-3</v>
      </c>
      <c r="Y15" s="141">
        <f>VLOOKUP($B15,'Raw Gamma CPM'!$B:$AB,24,FALSE)/EXP(-LN(2)/8.03*$O15)*Standards!$H$23/$F15</f>
        <v>1.905249182948112E-2</v>
      </c>
      <c r="Z15" s="141">
        <f>VLOOKUP($B15,'Raw Gamma CPM'!$B:$AB,25,FALSE)/EXP(-LN(2)/8.03*$O15)*Standards!$H$23/$F15</f>
        <v>1.975447997018989E-3</v>
      </c>
      <c r="AA15" s="141">
        <f>VLOOKUP($B15,'Raw Gamma CPM'!$B:$AB,26,FALSE)/EXP(-LN(2)/8.03*$O15)*Standards!$H$23/$F15</f>
        <v>1.3875956774566979E-3</v>
      </c>
      <c r="AB15" s="142">
        <f>VLOOKUP($B15,'Raw Gamma CPM'!$B:$AB,27,FALSE)/EXP(-LN(2)/8.03*$O15)*Standards!$H$23/$F15</f>
        <v>7.6679720766994926E-3</v>
      </c>
    </row>
    <row r="16" spans="2:28" x14ac:dyDescent="0.25">
      <c r="B16" s="21">
        <v>31</v>
      </c>
      <c r="C16" s="12">
        <v>42650</v>
      </c>
      <c r="D16" s="56">
        <v>0.52986111111111112</v>
      </c>
      <c r="E16" s="13">
        <v>48</v>
      </c>
      <c r="F16" s="15">
        <v>115.8</v>
      </c>
      <c r="G16" s="12">
        <v>42652</v>
      </c>
      <c r="H16" s="14">
        <v>27.5</v>
      </c>
      <c r="I16" s="99" t="s">
        <v>35</v>
      </c>
      <c r="J16" s="15">
        <v>90</v>
      </c>
      <c r="K16" s="14">
        <v>89</v>
      </c>
      <c r="L16" s="58">
        <f t="shared" si="0"/>
        <v>0.98888888888888893</v>
      </c>
      <c r="M16" s="61">
        <v>42659</v>
      </c>
      <c r="N16" s="82">
        <v>0.94715277777777773</v>
      </c>
      <c r="O16" s="84">
        <f t="shared" si="1"/>
        <v>9.4172916666648234</v>
      </c>
      <c r="P16" s="140">
        <f>VLOOKUP($B16,'Raw Gamma CPM'!$B:$AB,15,FALSE)/EXP(-LN(2)/8.03*$O16)*Standards!$H$23/$F16</f>
        <v>7.6820299342344287E-5</v>
      </c>
      <c r="Q16" s="141">
        <f>VLOOKUP($B16,'Raw Gamma CPM'!$B:$AB,16,FALSE)/EXP(-LN(2)/8.03*$O16)*Standards!$H$23/$F16</f>
        <v>6.0987150002316578E-4</v>
      </c>
      <c r="R16" s="141">
        <f>VLOOKUP($B16,'Raw Gamma CPM'!$B:$AB,17,FALSE)/EXP(-LN(2)/8.03*$O16)*Standards!$H$23/$F16</f>
        <v>1.6420389154423048E-4</v>
      </c>
      <c r="S16" s="141">
        <f>VLOOKUP($B16,'Raw Gamma CPM'!$B:$AB,18,FALSE)/EXP(-LN(2)/8.03*$O16)*Standards!$H$23/$F16</f>
        <v>6.9633447278086966E-5</v>
      </c>
      <c r="T16" s="141">
        <f>VLOOKUP($B16,'Raw Gamma CPM'!$B:$AB,19,FALSE)/EXP(-LN(2)/8.03*$O16)*Standards!$H$23/$F16</f>
        <v>9.8686892516561088E-5</v>
      </c>
      <c r="U16" s="141">
        <f>VLOOKUP($B16,'Raw Gamma CPM'!$B:$AB,20,FALSE)/EXP(-LN(2)/8.03*$O16)*Standards!$H$23/$F16</f>
        <v>1.8480996354487335E-3</v>
      </c>
      <c r="V16" s="141">
        <f>VLOOKUP($B16,'Raw Gamma CPM'!$B:$AB,21,FALSE)/EXP(-LN(2)/8.03*$O16)*Standards!$H$23/$F16</f>
        <v>3.8603555009445877E-4</v>
      </c>
      <c r="W16" s="141"/>
      <c r="X16" s="141">
        <f>VLOOKUP($B16,'Raw Gamma CPM'!$B:$AB,23,FALSE)/EXP(-LN(2)/8.03*$O16)*Standards!$H$23/$F16</f>
        <v>9.9203392635245397E-4</v>
      </c>
      <c r="Y16" s="141">
        <f>VLOOKUP($B16,'Raw Gamma CPM'!$B:$AB,24,FALSE)/EXP(-LN(2)/8.03*$O16)*Standards!$H$23/$F16</f>
        <v>2.7223143409446297E-3</v>
      </c>
      <c r="Z16" s="141">
        <f>VLOOKUP($B16,'Raw Gamma CPM'!$B:$AB,25,FALSE)/EXP(-LN(2)/8.03*$O16)*Standards!$H$23/$F16</f>
        <v>6.8449435349874233E-4</v>
      </c>
      <c r="AA16" s="141">
        <f>VLOOKUP($B16,'Raw Gamma CPM'!$B:$AB,26,FALSE)/EXP(-LN(2)/8.03*$O16)*Standards!$H$23/$F16</f>
        <v>8.2247187913309138E-4</v>
      </c>
      <c r="AB16" s="142">
        <f>VLOOKUP($B16,'Raw Gamma CPM'!$B:$AB,27,FALSE)/EXP(-LN(2)/8.03*$O16)*Standards!$H$23/$F16</f>
        <v>1.3237604547396977E-3</v>
      </c>
    </row>
    <row r="17" spans="2:29" x14ac:dyDescent="0.25">
      <c r="B17" s="21">
        <v>23</v>
      </c>
      <c r="C17" s="12">
        <v>42650</v>
      </c>
      <c r="D17" s="56">
        <v>0.49652777777777773</v>
      </c>
      <c r="E17" s="13">
        <v>72</v>
      </c>
      <c r="F17" s="15">
        <v>16.2</v>
      </c>
      <c r="G17" s="12">
        <v>42653</v>
      </c>
      <c r="H17" s="14">
        <v>28.2</v>
      </c>
      <c r="I17" s="99" t="s">
        <v>36</v>
      </c>
      <c r="J17" s="15">
        <v>2.2200000000000002</v>
      </c>
      <c r="K17" s="14">
        <v>0.33</v>
      </c>
      <c r="L17" s="58">
        <f t="shared" si="0"/>
        <v>0.14864864864864863</v>
      </c>
      <c r="M17" s="61">
        <v>42659</v>
      </c>
      <c r="N17" s="82">
        <v>0.97086805555555555</v>
      </c>
      <c r="O17" s="84">
        <f t="shared" si="1"/>
        <v>9.4743402777748997</v>
      </c>
      <c r="P17" s="140">
        <f>VLOOKUP($B17,'Raw Gamma CPM'!$B:$AB,15,FALSE)/EXP(-LN(2)/8.03*$O17)*Standards!$H$23/$F17</f>
        <v>5.5325721270745227E-4</v>
      </c>
      <c r="Q17" s="141">
        <f>VLOOKUP($B17,'Raw Gamma CPM'!$B:$AB,16,FALSE)/EXP(-LN(2)/8.03*$O17)*Standards!$H$23/$F17</f>
        <v>9.698173855295924E-5</v>
      </c>
      <c r="R17" s="141">
        <f>VLOOKUP($B17,'Raw Gamma CPM'!$B:$AB,17,FALSE)/EXP(-LN(2)/8.03*$O17)*Standards!$H$23/$F17</f>
        <v>1.4168848202190978E-4</v>
      </c>
      <c r="S17" s="141">
        <f>VLOOKUP($B17,'Raw Gamma CPM'!$B:$AB,18,FALSE)/EXP(-LN(2)/8.03*$O17)*Standards!$H$23/$F17</f>
        <v>2.6624028002972364E-4</v>
      </c>
      <c r="T17" s="141">
        <f>VLOOKUP($B17,'Raw Gamma CPM'!$B:$AB,19,FALSE)/EXP(-LN(2)/8.03*$O17)*Standards!$H$23/$F17</f>
        <v>5.4177689579327712E-3</v>
      </c>
      <c r="U17" s="141">
        <f>VLOOKUP($B17,'Raw Gamma CPM'!$B:$AB,20,FALSE)/EXP(-LN(2)/8.03*$O17)*Standards!$H$23/$F17</f>
        <v>1.0721509591531998E-3</v>
      </c>
      <c r="V17" s="141">
        <f>VLOOKUP($B17,'Raw Gamma CPM'!$B:$AB,21,FALSE)/EXP(-LN(2)/8.03*$O17)*Standards!$H$23/$F17</f>
        <v>2.9704126213834E-2</v>
      </c>
      <c r="W17" s="141"/>
      <c r="X17" s="141">
        <f>VLOOKUP($B17,'Raw Gamma CPM'!$B:$AB,23,FALSE)/EXP(-LN(2)/8.03*$O17)*Standards!$H$23/$F17</f>
        <v>2.5264391600327174E-2</v>
      </c>
      <c r="Y17" s="141">
        <f>VLOOKUP($B17,'Raw Gamma CPM'!$B:$AB,24,FALSE)/EXP(-LN(2)/8.03*$O17)*Standards!$H$23/$F17</f>
        <v>2.2601322073101944E-3</v>
      </c>
      <c r="Z17" s="141">
        <f>VLOOKUP($B17,'Raw Gamma CPM'!$B:$AB,25,FALSE)/EXP(-LN(2)/8.03*$O17)*Standards!$H$23/$F17</f>
        <v>6.4193189413054997E-4</v>
      </c>
      <c r="AA17" s="141">
        <f>VLOOKUP($B17,'Raw Gamma CPM'!$B:$AB,26,FALSE)/EXP(-LN(2)/8.03*$O17)*Standards!$H$23/$F17</f>
        <v>1.6624926047744367E-3</v>
      </c>
      <c r="AB17" s="142">
        <f>VLOOKUP($B17,'Raw Gamma CPM'!$B:$AB,27,FALSE)/EXP(-LN(2)/8.03*$O17)*Standards!$H$23/$F17</f>
        <v>5.7662869448061969E-6</v>
      </c>
    </row>
    <row r="18" spans="2:29" x14ac:dyDescent="0.25">
      <c r="B18" s="21">
        <v>44</v>
      </c>
      <c r="C18" s="12">
        <v>42650</v>
      </c>
      <c r="D18" s="56">
        <v>0.63750000000000007</v>
      </c>
      <c r="E18" s="13">
        <v>72</v>
      </c>
      <c r="F18" s="15">
        <v>335</v>
      </c>
      <c r="G18" s="12">
        <v>42653</v>
      </c>
      <c r="H18" s="14">
        <v>32.9</v>
      </c>
      <c r="I18" s="99" t="s">
        <v>35</v>
      </c>
      <c r="J18" s="15">
        <v>207</v>
      </c>
      <c r="K18" s="14">
        <v>177</v>
      </c>
      <c r="L18" s="58">
        <f t="shared" si="0"/>
        <v>0.85507246376811596</v>
      </c>
      <c r="M18" s="61">
        <v>42659</v>
      </c>
      <c r="N18" s="82">
        <v>0.97503472222222232</v>
      </c>
      <c r="O18" s="84">
        <f t="shared" si="1"/>
        <v>9.3375347222245182</v>
      </c>
      <c r="P18" s="140">
        <f>VLOOKUP($B18,'Raw Gamma CPM'!$B:$AB,15,FALSE)/EXP(-LN(2)/8.03*$O18)*Standards!$H$23/$F18</f>
        <v>1.2459378796551892E-5</v>
      </c>
      <c r="Q18" s="141">
        <f>VLOOKUP($B18,'Raw Gamma CPM'!$B:$AB,16,FALSE)/EXP(-LN(2)/8.03*$O18)*Standards!$H$23/$F18</f>
        <v>1.0943550861958953E-4</v>
      </c>
      <c r="R18" s="141">
        <f>VLOOKUP($B18,'Raw Gamma CPM'!$B:$AB,17,FALSE)/EXP(-LN(2)/8.03*$O18)*Standards!$H$23/$F18</f>
        <v>1.8904360197809453E-5</v>
      </c>
      <c r="S18" s="141">
        <f>VLOOKUP($B18,'Raw Gamma CPM'!$B:$AB,18,FALSE)/EXP(-LN(2)/8.03*$O18)*Standards!$H$23/$F18</f>
        <v>3.8606161974662797E-5</v>
      </c>
      <c r="T18" s="141">
        <f>VLOOKUP($B18,'Raw Gamma CPM'!$B:$AB,19,FALSE)/EXP(-LN(2)/8.03*$O18)*Standards!$H$23/$F18</f>
        <v>7.4551314792472849E-5</v>
      </c>
      <c r="U18" s="141">
        <f>VLOOKUP($B18,'Raw Gamma CPM'!$B:$AB,20,FALSE)/EXP(-LN(2)/8.03*$O18)*Standards!$H$23/$F18</f>
        <v>1.2277319267150521E-3</v>
      </c>
      <c r="V18" s="141">
        <f>VLOOKUP($B18,'Raw Gamma CPM'!$B:$AB,21,FALSE)/EXP(-LN(2)/8.03*$O18)*Standards!$H$23/$F18</f>
        <v>1.6301600445283424E-2</v>
      </c>
      <c r="W18" s="141"/>
      <c r="X18" s="141">
        <f>VLOOKUP($B18,'Raw Gamma CPM'!$B:$AB,23,FALSE)/EXP(-LN(2)/8.03*$O18)*Standards!$H$23/$F18</f>
        <v>1.9064345407561113E-2</v>
      </c>
      <c r="Y18" s="141">
        <f>VLOOKUP($B18,'Raw Gamma CPM'!$B:$AB,24,FALSE)/EXP(-LN(2)/8.03*$O18)*Standards!$H$23/$F18</f>
        <v>1.0209841743973701E-2</v>
      </c>
      <c r="Z18" s="141">
        <f>VLOOKUP($B18,'Raw Gamma CPM'!$B:$AB,25,FALSE)/EXP(-LN(2)/8.03*$O18)*Standards!$H$23/$F18</f>
        <v>1.7858652492607281E-3</v>
      </c>
      <c r="AA18" s="141">
        <f>VLOOKUP($B18,'Raw Gamma CPM'!$B:$AB,26,FALSE)/EXP(-LN(2)/8.03*$O18)*Standards!$H$23/$F18</f>
        <v>1.9141698101896379E-4</v>
      </c>
      <c r="AB18" s="142">
        <f>VLOOKUP($B18,'Raw Gamma CPM'!$B:$AB,27,FALSE)/EXP(-LN(2)/8.03*$O18)*Standards!$H$23/$F18</f>
        <v>6.3350619162152674E-4</v>
      </c>
    </row>
    <row r="19" spans="2:29" x14ac:dyDescent="0.25">
      <c r="B19" s="21">
        <v>45</v>
      </c>
      <c r="C19" s="12">
        <v>42650</v>
      </c>
      <c r="D19" s="56">
        <v>0.64444444444444449</v>
      </c>
      <c r="E19" s="13">
        <v>72</v>
      </c>
      <c r="F19" s="15">
        <v>298</v>
      </c>
      <c r="G19" s="12">
        <v>42653</v>
      </c>
      <c r="H19" s="14">
        <v>30.7</v>
      </c>
      <c r="I19" s="99" t="s">
        <v>35</v>
      </c>
      <c r="J19" s="15">
        <v>200</v>
      </c>
      <c r="K19" s="14">
        <v>197</v>
      </c>
      <c r="L19" s="58">
        <f t="shared" si="0"/>
        <v>0.98499999999999999</v>
      </c>
      <c r="M19" s="61">
        <v>42659</v>
      </c>
      <c r="N19" s="82">
        <v>0.97920138888888886</v>
      </c>
      <c r="O19" s="84">
        <f t="shared" si="1"/>
        <v>9.3347569444449618</v>
      </c>
      <c r="P19" s="140">
        <f>VLOOKUP($B19,'Raw Gamma CPM'!$B:$AB,15,FALSE)/EXP(-LN(2)/8.03*$O19)*Standards!$H$23/$F19</f>
        <v>1.374650789370971E-5</v>
      </c>
      <c r="Q19" s="141">
        <f>VLOOKUP($B19,'Raw Gamma CPM'!$B:$AB,16,FALSE)/EXP(-LN(2)/8.03*$O19)*Standards!$H$23/$F19</f>
        <v>9.5319638802506579E-5</v>
      </c>
      <c r="R19" s="141">
        <f>VLOOKUP($B19,'Raw Gamma CPM'!$B:$AB,17,FALSE)/EXP(-LN(2)/8.03*$O19)*Standards!$H$23/$F19</f>
        <v>1.1800142522010055E-5</v>
      </c>
      <c r="S19" s="141">
        <f>VLOOKUP($B19,'Raw Gamma CPM'!$B:$AB,18,FALSE)/EXP(-LN(2)/8.03*$O19)*Standards!$H$23/$F19</f>
        <v>2.5995737204615161E-5</v>
      </c>
      <c r="T19" s="141">
        <f>VLOOKUP($B19,'Raw Gamma CPM'!$B:$AB,19,FALSE)/EXP(-LN(2)/8.03*$O19)*Standards!$H$23/$F19</f>
        <v>3.9320258374276614E-5</v>
      </c>
      <c r="U19" s="141">
        <f>VLOOKUP($B19,'Raw Gamma CPM'!$B:$AB,20,FALSE)/EXP(-LN(2)/8.03*$O19)*Standards!$H$23/$F19</f>
        <v>9.8786317812130553E-4</v>
      </c>
      <c r="V19" s="141">
        <f>VLOOKUP($B19,'Raw Gamma CPM'!$B:$AB,21,FALSE)/EXP(-LN(2)/8.03*$O19)*Standards!$H$23/$F19</f>
        <v>6.5070159276349907E-5</v>
      </c>
      <c r="W19" s="141"/>
      <c r="X19" s="141">
        <f>VLOOKUP($B19,'Raw Gamma CPM'!$B:$AB,23,FALSE)/EXP(-LN(2)/8.03*$O19)*Standards!$H$23/$F19</f>
        <v>1.5000011714619396E-3</v>
      </c>
      <c r="Y19" s="141">
        <f>VLOOKUP($B19,'Raw Gamma CPM'!$B:$AB,24,FALSE)/EXP(-LN(2)/8.03*$O19)*Standards!$H$23/$F19</f>
        <v>2.1982536994375741E-3</v>
      </c>
      <c r="Z19" s="141">
        <f>VLOOKUP($B19,'Raw Gamma CPM'!$B:$AB,25,FALSE)/EXP(-LN(2)/8.03*$O19)*Standards!$H$23/$F19</f>
        <v>6.4168307832615555E-4</v>
      </c>
      <c r="AA19" s="141">
        <f>VLOOKUP($B19,'Raw Gamma CPM'!$B:$AB,26,FALSE)/EXP(-LN(2)/8.03*$O19)*Standards!$H$23/$F19</f>
        <v>7.6140535766404928E-5</v>
      </c>
      <c r="AB19" s="142">
        <f>VLOOKUP($B19,'Raw Gamma CPM'!$B:$AB,27,FALSE)/EXP(-LN(2)/8.03*$O19)*Standards!$H$23/$F19</f>
        <v>5.424832909532145E-4</v>
      </c>
    </row>
    <row r="20" spans="2:29" x14ac:dyDescent="0.25">
      <c r="B20" s="21">
        <v>33</v>
      </c>
      <c r="C20" s="12">
        <v>42650</v>
      </c>
      <c r="D20" s="56">
        <v>0.55208333333333337</v>
      </c>
      <c r="E20" s="13">
        <v>216</v>
      </c>
      <c r="F20" s="15">
        <v>229</v>
      </c>
      <c r="G20" s="12">
        <v>42659</v>
      </c>
      <c r="H20" s="18">
        <v>28.7</v>
      </c>
      <c r="I20" s="99" t="s">
        <v>35</v>
      </c>
      <c r="J20" s="15">
        <v>84</v>
      </c>
      <c r="K20" s="14">
        <v>90</v>
      </c>
      <c r="L20" s="58">
        <f t="shared" si="0"/>
        <v>1.0714285714285714</v>
      </c>
      <c r="M20" s="61">
        <v>42660</v>
      </c>
      <c r="N20" s="82">
        <v>3.6574074074074074E-3</v>
      </c>
      <c r="O20" s="84">
        <f t="shared" si="1"/>
        <v>9.4515740740680485</v>
      </c>
      <c r="P20" s="140">
        <f>VLOOKUP($B20,'Raw Gamma CPM'!$B:$AB,15,FALSE)/EXP(-LN(2)/8.03*$O20)*Standards!$H$23/$F20</f>
        <v>1.618683232269424E-5</v>
      </c>
      <c r="Q20" s="141">
        <f>VLOOKUP($B20,'Raw Gamma CPM'!$B:$AB,16,FALSE)/EXP(-LN(2)/8.03*$O20)*Standards!$H$23/$F20</f>
        <v>9.1792557943560886E-4</v>
      </c>
      <c r="R20" s="141">
        <f>VLOOKUP($B20,'Raw Gamma CPM'!$B:$AB,17,FALSE)/EXP(-LN(2)/8.03*$O20)*Standards!$H$23/$F20</f>
        <v>1.4912839688647529E-3</v>
      </c>
      <c r="S20" s="141">
        <f>VLOOKUP($B20,'Raw Gamma CPM'!$B:$AB,18,FALSE)/EXP(-LN(2)/8.03*$O20)*Standards!$H$23/$F20</f>
        <v>2.1623791210616415E-4</v>
      </c>
      <c r="T20" s="141">
        <f>VLOOKUP($B20,'Raw Gamma CPM'!$B:$AB,19,FALSE)/EXP(-LN(2)/8.03*$O20)*Standards!$H$23/$F20</f>
        <v>4.4663469058969725E-4</v>
      </c>
      <c r="U20" s="141">
        <f>VLOOKUP($B20,'Raw Gamma CPM'!$B:$AB,20,FALSE)/EXP(-LN(2)/8.03*$O20)*Standards!$H$23/$F20</f>
        <v>1.6290673339292392E-3</v>
      </c>
      <c r="V20" s="141">
        <f>VLOOKUP($B20,'Raw Gamma CPM'!$B:$AB,21,FALSE)/EXP(-LN(2)/8.03*$O20)*Standards!$H$23/$F20</f>
        <v>8.8331021090335484E-5</v>
      </c>
      <c r="W20" s="141"/>
      <c r="X20" s="141">
        <f>VLOOKUP($B20,'Raw Gamma CPM'!$B:$AB,23,FALSE)/EXP(-LN(2)/8.03*$O20)*Standards!$H$23/$F20</f>
        <v>3.5568156296654144E-4</v>
      </c>
      <c r="Y20" s="141">
        <f>VLOOKUP($B20,'Raw Gamma CPM'!$B:$AB,24,FALSE)/EXP(-LN(2)/8.03*$O20)*Standards!$H$23/$F20</f>
        <v>1.1724747453131547E-3</v>
      </c>
      <c r="Z20" s="141">
        <f>VLOOKUP($B20,'Raw Gamma CPM'!$B:$AB,25,FALSE)/EXP(-LN(2)/8.03*$O20)*Standards!$H$23/$F20</f>
        <v>6.7909505800881227E-4</v>
      </c>
      <c r="AA20" s="141">
        <f>VLOOKUP($B20,'Raw Gamma CPM'!$B:$AB,26,FALSE)/EXP(-LN(2)/8.03*$O20)*Standards!$H$23/$F20</f>
        <v>2.6934797382988269E-4</v>
      </c>
      <c r="AB20" s="142">
        <f>VLOOKUP($B20,'Raw Gamma CPM'!$B:$AB,27,FALSE)/EXP(-LN(2)/8.03*$O20)*Standards!$H$23/$F20</f>
        <v>3.5213325868704799E-4</v>
      </c>
    </row>
    <row r="21" spans="2:29" x14ac:dyDescent="0.25">
      <c r="B21" s="21">
        <v>34</v>
      </c>
      <c r="C21" s="12">
        <v>42650</v>
      </c>
      <c r="D21" s="56">
        <v>0.56388888888888888</v>
      </c>
      <c r="E21" s="13">
        <v>216</v>
      </c>
      <c r="F21" s="15">
        <v>187.4</v>
      </c>
      <c r="G21" s="12">
        <v>42659</v>
      </c>
      <c r="H21" s="18">
        <v>28.3</v>
      </c>
      <c r="I21" s="99" t="s">
        <v>35</v>
      </c>
      <c r="J21" s="15">
        <v>54</v>
      </c>
      <c r="K21" s="14">
        <v>52</v>
      </c>
      <c r="L21" s="58">
        <f t="shared" si="0"/>
        <v>0.96296296296296291</v>
      </c>
      <c r="M21" s="61">
        <v>42660</v>
      </c>
      <c r="N21" s="82">
        <v>7.8240740740740753E-3</v>
      </c>
      <c r="O21" s="84">
        <f t="shared" si="1"/>
        <v>9.4439351851906395</v>
      </c>
      <c r="P21" s="140">
        <f>VLOOKUP($B21,'Raw Gamma CPM'!$B:$AB,15,FALSE)/EXP(-LN(2)/8.03*$O21)*Standards!$H$23/$F21</f>
        <v>2.1274064750884972E-5</v>
      </c>
      <c r="Q21" s="141">
        <f>VLOOKUP($B21,'Raw Gamma CPM'!$B:$AB,16,FALSE)/EXP(-LN(2)/8.03*$O21)*Standards!$H$23/$F21</f>
        <v>1.1827124656109825E-4</v>
      </c>
      <c r="R21" s="141">
        <f>VLOOKUP($B21,'Raw Gamma CPM'!$B:$AB,17,FALSE)/EXP(-LN(2)/8.03*$O21)*Standards!$H$23/$F21</f>
        <v>2.254650023112851E-5</v>
      </c>
      <c r="S21" s="141">
        <f>VLOOKUP($B21,'Raw Gamma CPM'!$B:$AB,18,FALSE)/EXP(-LN(2)/8.03*$O21)*Standards!$H$23/$F21</f>
        <v>4.6362328651950511E-5</v>
      </c>
      <c r="T21" s="141">
        <f>VLOOKUP($B21,'Raw Gamma CPM'!$B:$AB,19,FALSE)/EXP(-LN(2)/8.03*$O21)*Standards!$H$23/$F21</f>
        <v>1.8839657969452E-4</v>
      </c>
      <c r="U21" s="141">
        <f>VLOOKUP($B21,'Raw Gamma CPM'!$B:$AB,20,FALSE)/EXP(-LN(2)/8.03*$O21)*Standards!$H$23/$F21</f>
        <v>2.8971009880780119E-3</v>
      </c>
      <c r="V21" s="141">
        <f>VLOOKUP($B21,'Raw Gamma CPM'!$B:$AB,21,FALSE)/EXP(-LN(2)/8.03*$O21)*Standards!$H$23/$F21</f>
        <v>1.1611696202275187E-3</v>
      </c>
      <c r="W21" s="141"/>
      <c r="X21" s="141">
        <f>VLOOKUP($B21,'Raw Gamma CPM'!$B:$AB,23,FALSE)/EXP(-LN(2)/8.03*$O21)*Standards!$H$23/$F21</f>
        <v>2.5381011065656961E-2</v>
      </c>
      <c r="Y21" s="141">
        <f>VLOOKUP($B21,'Raw Gamma CPM'!$B:$AB,24,FALSE)/EXP(-LN(2)/8.03*$O21)*Standards!$H$23/$F21</f>
        <v>2.4371427507622848E-2</v>
      </c>
      <c r="Z21" s="141">
        <f>VLOOKUP($B21,'Raw Gamma CPM'!$B:$AB,25,FALSE)/EXP(-LN(2)/8.03*$O21)*Standards!$H$23/$F21</f>
        <v>1.1834395715996932E-3</v>
      </c>
      <c r="AA21" s="141">
        <f>VLOOKUP($B21,'Raw Gamma CPM'!$B:$AB,26,FALSE)/EXP(-LN(2)/8.03*$O21)*Standards!$H$23/$F21</f>
        <v>1.2322753035294797E-3</v>
      </c>
      <c r="AB21" s="142">
        <f>VLOOKUP($B21,'Raw Gamma CPM'!$B:$AB,27,FALSE)/EXP(-LN(2)/8.03*$O21)*Standards!$H$23/$F21</f>
        <v>5.6584848468016957E-4</v>
      </c>
    </row>
    <row r="22" spans="2:29" x14ac:dyDescent="0.25">
      <c r="B22" s="21">
        <v>35</v>
      </c>
      <c r="C22" s="12">
        <v>42650</v>
      </c>
      <c r="D22" s="56">
        <v>0.57777777777777783</v>
      </c>
      <c r="E22" s="13">
        <v>216</v>
      </c>
      <c r="F22" s="15">
        <v>430</v>
      </c>
      <c r="G22" s="12">
        <v>42659</v>
      </c>
      <c r="H22" s="18">
        <v>30.2</v>
      </c>
      <c r="I22" s="99" t="s">
        <v>35</v>
      </c>
      <c r="J22" s="15">
        <v>170</v>
      </c>
      <c r="K22" s="14">
        <v>173</v>
      </c>
      <c r="L22" s="58">
        <f t="shared" si="0"/>
        <v>1.0176470588235293</v>
      </c>
      <c r="M22" s="61">
        <v>42660</v>
      </c>
      <c r="N22" s="82">
        <v>1.1990740740740739E-2</v>
      </c>
      <c r="O22" s="84">
        <f t="shared" si="1"/>
        <v>9.4342129629658302</v>
      </c>
      <c r="P22" s="140">
        <f>VLOOKUP($B22,'Raw Gamma CPM'!$B:$AB,15,FALSE)/EXP(-LN(2)/8.03*$O22)*Standards!$H$23/$F22</f>
        <v>3.2727249643406709E-5</v>
      </c>
      <c r="Q22" s="141">
        <f>VLOOKUP($B22,'Raw Gamma CPM'!$B:$AB,16,FALSE)/EXP(-LN(2)/8.03*$O22)*Standards!$H$23/$F22</f>
        <v>9.8185131591681978E-5</v>
      </c>
      <c r="R22" s="141">
        <f>VLOOKUP($B22,'Raw Gamma CPM'!$B:$AB,17,FALSE)/EXP(-LN(2)/8.03*$O22)*Standards!$H$23/$F22</f>
        <v>2.512776240321265E-5</v>
      </c>
      <c r="S22" s="141">
        <f>VLOOKUP($B22,'Raw Gamma CPM'!$B:$AB,18,FALSE)/EXP(-LN(2)/8.03*$O22)*Standards!$H$23/$F22</f>
        <v>3.5055197261452448E-5</v>
      </c>
      <c r="T22" s="141">
        <f>VLOOKUP($B22,'Raw Gamma CPM'!$B:$AB,19,FALSE)/EXP(-LN(2)/8.03*$O22)*Standards!$H$23/$F22</f>
        <v>6.5391581783622997E-5</v>
      </c>
      <c r="U22" s="141">
        <f>VLOOKUP($B22,'Raw Gamma CPM'!$B:$AB,20,FALSE)/EXP(-LN(2)/8.03*$O22)*Standards!$H$23/$F22</f>
        <v>7.3155128104716817E-4</v>
      </c>
      <c r="V22" s="141">
        <f>VLOOKUP($B22,'Raw Gamma CPM'!$B:$AB,21,FALSE)/EXP(-LN(2)/8.03*$O22)*Standards!$H$23/$F22</f>
        <v>9.0666828226572342E-5</v>
      </c>
      <c r="W22" s="141"/>
      <c r="X22" s="141">
        <f>VLOOKUP($B22,'Raw Gamma CPM'!$B:$AB,23,FALSE)/EXP(-LN(2)/8.03*$O22)*Standards!$H$23/$F22</f>
        <v>5.3573239168208588E-4</v>
      </c>
      <c r="Y22" s="141">
        <f>VLOOKUP($B22,'Raw Gamma CPM'!$B:$AB,24,FALSE)/EXP(-LN(2)/8.03*$O22)*Standards!$H$23/$F22</f>
        <v>3.7165037633760962E-3</v>
      </c>
      <c r="Z22" s="141">
        <f>VLOOKUP($B22,'Raw Gamma CPM'!$B:$AB,25,FALSE)/EXP(-LN(2)/8.03*$O22)*Standards!$H$23/$F22</f>
        <v>4.3837939481001923E-4</v>
      </c>
      <c r="AA22" s="141">
        <f>VLOOKUP($B22,'Raw Gamma CPM'!$B:$AB,26,FALSE)/EXP(-LN(2)/8.03*$O22)*Standards!$H$23/$F22</f>
        <v>6.6822785848132072E-4</v>
      </c>
      <c r="AB22" s="142">
        <f>VLOOKUP($B22,'Raw Gamma CPM'!$B:$AB,27,FALSE)/EXP(-LN(2)/8.03*$O22)*Standards!$H$23/$F22</f>
        <v>8.6216260541215224E-4</v>
      </c>
    </row>
    <row r="23" spans="2:29" x14ac:dyDescent="0.25">
      <c r="B23" s="21">
        <v>53</v>
      </c>
      <c r="C23" s="12">
        <v>42650</v>
      </c>
      <c r="D23" s="56">
        <v>0.68888888888888899</v>
      </c>
      <c r="E23" s="13">
        <v>216</v>
      </c>
      <c r="F23" s="15">
        <v>321</v>
      </c>
      <c r="G23" s="12">
        <v>42659</v>
      </c>
      <c r="H23" s="18">
        <v>30.4</v>
      </c>
      <c r="I23" s="99" t="s">
        <v>35</v>
      </c>
      <c r="J23" s="15">
        <v>41</v>
      </c>
      <c r="K23" s="14">
        <v>31</v>
      </c>
      <c r="L23" s="58">
        <f t="shared" si="0"/>
        <v>0.75609756097560976</v>
      </c>
      <c r="M23" s="61">
        <v>42660</v>
      </c>
      <c r="N23" s="82">
        <v>1.6157407407407409E-2</v>
      </c>
      <c r="O23" s="84">
        <f t="shared" si="1"/>
        <v>9.3272685185220325</v>
      </c>
      <c r="P23" s="140">
        <f>VLOOKUP($B23,'Raw Gamma CPM'!$B:$AB,15,FALSE)/EXP(-LN(2)/8.03*$O23)*Standards!$H$23/$F23</f>
        <v>9.8574828347053356E-6</v>
      </c>
      <c r="Q23" s="141">
        <f>VLOOKUP($B23,'Raw Gamma CPM'!$B:$AB,16,FALSE)/EXP(-LN(2)/8.03*$O23)*Standards!$H$23/$F23</f>
        <v>3.9314996213767393E-5</v>
      </c>
      <c r="R23" s="141">
        <f>VLOOKUP($B23,'Raw Gamma CPM'!$B:$AB,17,FALSE)/EXP(-LN(2)/8.03*$O23)*Standards!$H$23/$F23</f>
        <v>1.1244785711333116E-5</v>
      </c>
      <c r="S23" s="141">
        <f>VLOOKUP($B23,'Raw Gamma CPM'!$B:$AB,18,FALSE)/EXP(-LN(2)/8.03*$O23)*Standards!$H$23/$F23</f>
        <v>2.3419827591071652E-5</v>
      </c>
      <c r="T23" s="141">
        <f>VLOOKUP($B23,'Raw Gamma CPM'!$B:$AB,19,FALSE)/EXP(-LN(2)/8.03*$O23)*Standards!$H$23/$F23</f>
        <v>4.7318252226313278E-5</v>
      </c>
      <c r="U23" s="141">
        <f>VLOOKUP($B23,'Raw Gamma CPM'!$B:$AB,20,FALSE)/EXP(-LN(2)/8.03*$O23)*Standards!$H$23/$F23</f>
        <v>9.8463466986044076E-3</v>
      </c>
      <c r="V23" s="141">
        <f>VLOOKUP($B23,'Raw Gamma CPM'!$B:$AB,21,FALSE)/EXP(-LN(2)/8.03*$O23)*Standards!$H$23/$F23</f>
        <v>3.5392502836955435E-2</v>
      </c>
      <c r="W23" s="141"/>
      <c r="X23" s="141">
        <f>VLOOKUP($B23,'Raw Gamma CPM'!$B:$AB,23,FALSE)/EXP(-LN(2)/8.03*$O23)*Standards!$H$23/$F23</f>
        <v>2.2775778740594527E-2</v>
      </c>
      <c r="Y23" s="141">
        <f>VLOOKUP($B23,'Raw Gamma CPM'!$B:$AB,24,FALSE)/EXP(-LN(2)/8.03*$O23)*Standards!$H$23/$F23</f>
        <v>1.5465989192645649E-2</v>
      </c>
      <c r="Z23" s="141">
        <f>VLOOKUP($B23,'Raw Gamma CPM'!$B:$AB,25,FALSE)/EXP(-LN(2)/8.03*$O23)*Standards!$H$23/$F23</f>
        <v>6.8774574833357764E-4</v>
      </c>
      <c r="AA23" s="141">
        <f>VLOOKUP($B23,'Raw Gamma CPM'!$B:$AB,26,FALSE)/EXP(-LN(2)/8.03*$O23)*Standards!$H$23/$F23</f>
        <v>6.667049880380564E-3</v>
      </c>
      <c r="AB23" s="142">
        <f>VLOOKUP($B23,'Raw Gamma CPM'!$B:$AB,27,FALSE)/EXP(-LN(2)/8.03*$O23)*Standards!$H$23/$F23</f>
        <v>4.0846955720443543E-4</v>
      </c>
    </row>
    <row r="24" spans="2:29" x14ac:dyDescent="0.25">
      <c r="B24" s="21">
        <v>55</v>
      </c>
      <c r="C24" s="12">
        <v>42650</v>
      </c>
      <c r="D24" s="56">
        <v>0.70416666666666661</v>
      </c>
      <c r="E24" s="13">
        <v>216</v>
      </c>
      <c r="F24" s="15">
        <v>265</v>
      </c>
      <c r="G24" s="12">
        <v>42659</v>
      </c>
      <c r="H24" s="14">
        <v>29.4</v>
      </c>
      <c r="I24" s="99" t="s">
        <v>36</v>
      </c>
      <c r="J24" s="15">
        <v>84</v>
      </c>
      <c r="K24" s="105" t="s">
        <v>47</v>
      </c>
      <c r="L24" s="105" t="s">
        <v>47</v>
      </c>
      <c r="M24" s="105" t="s">
        <v>47</v>
      </c>
      <c r="N24" s="105" t="s">
        <v>47</v>
      </c>
      <c r="O24" s="108" t="s">
        <v>47</v>
      </c>
      <c r="P24" s="34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22"/>
    </row>
    <row r="25" spans="2:29" ht="15.75" thickBot="1" x14ac:dyDescent="0.3">
      <c r="B25" s="23"/>
      <c r="C25" s="24"/>
      <c r="D25" s="24"/>
      <c r="E25" s="25"/>
      <c r="F25" s="26"/>
      <c r="G25" s="25"/>
      <c r="H25" s="24"/>
      <c r="I25" s="101"/>
      <c r="J25" s="26"/>
      <c r="K25" s="27"/>
      <c r="L25" s="59"/>
      <c r="M25" s="62"/>
      <c r="N25" s="80"/>
      <c r="O25" s="85"/>
      <c r="P25" s="86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8"/>
    </row>
    <row r="26" spans="2:29" ht="7.5" customHeight="1" x14ac:dyDescent="0.25">
      <c r="E26" s="120"/>
      <c r="F26" s="120"/>
      <c r="G26" s="120"/>
      <c r="H26" s="121"/>
      <c r="I26" s="121"/>
      <c r="J26" s="122"/>
      <c r="K26" s="123"/>
      <c r="L26" s="124"/>
      <c r="M26" s="124"/>
      <c r="N26" s="124"/>
      <c r="O26" s="121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</row>
    <row r="27" spans="2:29" ht="18.75" customHeight="1" x14ac:dyDescent="0.25">
      <c r="N27" s="191" t="s">
        <v>43</v>
      </c>
      <c r="O27" s="191"/>
    </row>
    <row r="28" spans="2:29" x14ac:dyDescent="0.25">
      <c r="P28" s="182" t="s">
        <v>50</v>
      </c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4"/>
      <c r="AC28" s="113" t="s">
        <v>51</v>
      </c>
    </row>
    <row r="29" spans="2:29" ht="25.5" x14ac:dyDescent="0.25">
      <c r="N29" s="185" t="s">
        <v>52</v>
      </c>
      <c r="O29" s="186"/>
      <c r="P29" s="117" t="s">
        <v>2</v>
      </c>
      <c r="Q29" s="117" t="s">
        <v>3</v>
      </c>
      <c r="R29" s="117" t="s">
        <v>4</v>
      </c>
      <c r="S29" s="117" t="s">
        <v>5</v>
      </c>
      <c r="T29" s="117" t="s">
        <v>6</v>
      </c>
      <c r="U29" s="117" t="s">
        <v>7</v>
      </c>
      <c r="V29" s="117" t="s">
        <v>45</v>
      </c>
      <c r="W29" s="117" t="s">
        <v>8</v>
      </c>
      <c r="X29" s="117" t="s">
        <v>9</v>
      </c>
      <c r="Y29" s="117" t="s">
        <v>10</v>
      </c>
      <c r="Z29" s="117" t="s">
        <v>11</v>
      </c>
      <c r="AA29" s="117" t="s">
        <v>12</v>
      </c>
      <c r="AB29" s="118" t="s">
        <v>13</v>
      </c>
      <c r="AC29" s="114"/>
    </row>
    <row r="30" spans="2:29" x14ac:dyDescent="0.25">
      <c r="N30" s="115"/>
      <c r="O30" s="116">
        <v>0</v>
      </c>
      <c r="P30" s="94" t="e">
        <f t="shared" ref="P30:AB34" si="2">AVERAGEIFS(P$5:P$25,$E$5:$E$25,$O30,$I$5:$I$25,"Yes")</f>
        <v>#DIV/0!</v>
      </c>
      <c r="Q30" s="94" t="e">
        <f t="shared" si="2"/>
        <v>#DIV/0!</v>
      </c>
      <c r="R30" s="94" t="e">
        <f t="shared" si="2"/>
        <v>#DIV/0!</v>
      </c>
      <c r="S30" s="94" t="e">
        <f t="shared" si="2"/>
        <v>#DIV/0!</v>
      </c>
      <c r="T30" s="94" t="e">
        <f t="shared" si="2"/>
        <v>#DIV/0!</v>
      </c>
      <c r="U30" s="94" t="e">
        <f t="shared" si="2"/>
        <v>#DIV/0!</v>
      </c>
      <c r="V30" s="94" t="e">
        <f t="shared" si="2"/>
        <v>#DIV/0!</v>
      </c>
      <c r="W30" s="94" t="e">
        <f t="shared" si="2"/>
        <v>#DIV/0!</v>
      </c>
      <c r="X30" s="94" t="e">
        <f t="shared" si="2"/>
        <v>#DIV/0!</v>
      </c>
      <c r="Y30" s="94" t="e">
        <f t="shared" si="2"/>
        <v>#DIV/0!</v>
      </c>
      <c r="Z30" s="94" t="e">
        <f t="shared" si="2"/>
        <v>#DIV/0!</v>
      </c>
      <c r="AA30" s="94" t="e">
        <f t="shared" si="2"/>
        <v>#DIV/0!</v>
      </c>
      <c r="AB30" s="94" t="e">
        <f t="shared" si="2"/>
        <v>#DIV/0!</v>
      </c>
      <c r="AC30" s="114">
        <f>COUNTIFS($I$5:$I$25,"Yes",$E$5:$E$25,O30)</f>
        <v>0</v>
      </c>
    </row>
    <row r="31" spans="2:29" x14ac:dyDescent="0.25">
      <c r="N31" s="115"/>
      <c r="O31" s="116">
        <v>24</v>
      </c>
      <c r="P31" s="94">
        <f t="shared" si="2"/>
        <v>8.2488751048290237E-5</v>
      </c>
      <c r="Q31" s="94">
        <f t="shared" si="2"/>
        <v>6.3744084807337289E-4</v>
      </c>
      <c r="R31" s="94">
        <f t="shared" si="2"/>
        <v>3.8733753957349853E-4</v>
      </c>
      <c r="S31" s="94">
        <f t="shared" si="2"/>
        <v>2.3302794534895105E-4</v>
      </c>
      <c r="T31" s="94">
        <f t="shared" si="2"/>
        <v>5.1273678287034111E-4</v>
      </c>
      <c r="U31" s="94">
        <f t="shared" si="2"/>
        <v>5.2605568435608509E-3</v>
      </c>
      <c r="V31" s="94">
        <f t="shared" si="2"/>
        <v>7.5754216082423251E-3</v>
      </c>
      <c r="W31" s="94" t="e">
        <f t="shared" si="2"/>
        <v>#DIV/0!</v>
      </c>
      <c r="X31" s="94">
        <f t="shared" si="2"/>
        <v>1.0583850930008605E-2</v>
      </c>
      <c r="Y31" s="94">
        <f t="shared" si="2"/>
        <v>3.1346692508612196E-2</v>
      </c>
      <c r="Z31" s="94">
        <f t="shared" si="2"/>
        <v>1.6047804463141416E-3</v>
      </c>
      <c r="AA31" s="94">
        <f t="shared" si="2"/>
        <v>9.8213889924516685E-4</v>
      </c>
      <c r="AB31" s="94">
        <f t="shared" si="2"/>
        <v>7.5674570470621351E-3</v>
      </c>
      <c r="AC31" s="114">
        <f t="shared" ref="AC31:AC34" si="3">COUNTIFS($I$5:$I$25,"Yes",$E$5:$E$25,O31)</f>
        <v>4</v>
      </c>
    </row>
    <row r="32" spans="2:29" x14ac:dyDescent="0.25">
      <c r="N32" s="115"/>
      <c r="O32" s="116">
        <v>48</v>
      </c>
      <c r="P32" s="94">
        <f t="shared" si="2"/>
        <v>7.9584718370416296E-5</v>
      </c>
      <c r="Q32" s="94">
        <f t="shared" si="2"/>
        <v>8.4822400956896526E-4</v>
      </c>
      <c r="R32" s="94">
        <f t="shared" si="2"/>
        <v>4.3737406707071878E-3</v>
      </c>
      <c r="S32" s="94">
        <f t="shared" si="2"/>
        <v>1.7627254871069306E-4</v>
      </c>
      <c r="T32" s="94">
        <f t="shared" si="2"/>
        <v>4.4649291219728667E-4</v>
      </c>
      <c r="U32" s="94">
        <f t="shared" si="2"/>
        <v>4.1920892422849044E-3</v>
      </c>
      <c r="V32" s="94">
        <f t="shared" si="2"/>
        <v>3.0575813718060566E-3</v>
      </c>
      <c r="W32" s="94" t="e">
        <f t="shared" si="2"/>
        <v>#DIV/0!</v>
      </c>
      <c r="X32" s="94">
        <f t="shared" si="2"/>
        <v>7.0709559551767791E-3</v>
      </c>
      <c r="Y32" s="94">
        <f t="shared" si="2"/>
        <v>1.0119670893441754E-2</v>
      </c>
      <c r="Z32" s="94">
        <f t="shared" si="2"/>
        <v>1.8033769536109322E-3</v>
      </c>
      <c r="AA32" s="94">
        <f t="shared" si="2"/>
        <v>1.1513827181312965E-3</v>
      </c>
      <c r="AB32" s="94">
        <f t="shared" si="2"/>
        <v>3.6596232433117968E-3</v>
      </c>
      <c r="AC32" s="114">
        <f t="shared" si="3"/>
        <v>4</v>
      </c>
    </row>
    <row r="33" spans="14:29" x14ac:dyDescent="0.25">
      <c r="N33" s="115"/>
      <c r="O33" s="116">
        <v>72</v>
      </c>
      <c r="P33" s="94">
        <f t="shared" si="2"/>
        <v>1.3102943345130802E-5</v>
      </c>
      <c r="Q33" s="94">
        <f t="shared" si="2"/>
        <v>1.0237757371104806E-4</v>
      </c>
      <c r="R33" s="94">
        <f t="shared" si="2"/>
        <v>1.5352251359909752E-5</v>
      </c>
      <c r="S33" s="94">
        <f t="shared" si="2"/>
        <v>3.2300949589638976E-5</v>
      </c>
      <c r="T33" s="94">
        <f t="shared" si="2"/>
        <v>5.6935786583374731E-5</v>
      </c>
      <c r="U33" s="94">
        <f t="shared" si="2"/>
        <v>1.1077975524181787E-3</v>
      </c>
      <c r="V33" s="94">
        <f t="shared" si="2"/>
        <v>8.1833353022798868E-3</v>
      </c>
      <c r="W33" s="94" t="e">
        <f t="shared" si="2"/>
        <v>#DIV/0!</v>
      </c>
      <c r="X33" s="94">
        <f t="shared" si="2"/>
        <v>1.0282173289511526E-2</v>
      </c>
      <c r="Y33" s="94">
        <f t="shared" si="2"/>
        <v>6.2040477217056378E-3</v>
      </c>
      <c r="Z33" s="94">
        <f t="shared" si="2"/>
        <v>1.2137741637934418E-3</v>
      </c>
      <c r="AA33" s="94">
        <f t="shared" si="2"/>
        <v>1.3377875839268435E-4</v>
      </c>
      <c r="AB33" s="94">
        <f t="shared" si="2"/>
        <v>5.8799474128737057E-4</v>
      </c>
      <c r="AC33" s="114">
        <f t="shared" si="3"/>
        <v>2</v>
      </c>
    </row>
    <row r="34" spans="14:29" x14ac:dyDescent="0.25">
      <c r="N34" s="115"/>
      <c r="O34" s="116">
        <v>216</v>
      </c>
      <c r="P34" s="94">
        <f t="shared" si="2"/>
        <v>2.0011407387922813E-5</v>
      </c>
      <c r="Q34" s="94">
        <f t="shared" si="2"/>
        <v>2.9342423845053913E-4</v>
      </c>
      <c r="R34" s="94">
        <f t="shared" si="2"/>
        <v>3.8755075430260677E-4</v>
      </c>
      <c r="S34" s="94">
        <f t="shared" si="2"/>
        <v>8.026881640265968E-5</v>
      </c>
      <c r="T34" s="94">
        <f t="shared" si="2"/>
        <v>1.8693527607353835E-4</v>
      </c>
      <c r="U34" s="94">
        <f t="shared" si="2"/>
        <v>3.7760165754147069E-3</v>
      </c>
      <c r="V34" s="94">
        <f t="shared" si="2"/>
        <v>9.1831675766249656E-3</v>
      </c>
      <c r="W34" s="94" t="e">
        <f t="shared" si="2"/>
        <v>#DIV/0!</v>
      </c>
      <c r="X34" s="94">
        <f t="shared" si="2"/>
        <v>1.226205094022503E-2</v>
      </c>
      <c r="Y34" s="94">
        <f t="shared" si="2"/>
        <v>1.1181598802239437E-2</v>
      </c>
      <c r="Z34" s="94">
        <f t="shared" si="2"/>
        <v>7.4716494318802554E-4</v>
      </c>
      <c r="AA34" s="94">
        <f t="shared" si="2"/>
        <v>2.2092252540553119E-3</v>
      </c>
      <c r="AB34" s="94">
        <f t="shared" si="2"/>
        <v>5.471534764959513E-4</v>
      </c>
      <c r="AC34" s="114">
        <f t="shared" si="3"/>
        <v>4</v>
      </c>
    </row>
    <row r="37" spans="14:29" x14ac:dyDescent="0.25">
      <c r="P37" s="182" t="s">
        <v>55</v>
      </c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4"/>
      <c r="AC37" s="113" t="s">
        <v>51</v>
      </c>
    </row>
    <row r="38" spans="14:29" ht="25.5" x14ac:dyDescent="0.25">
      <c r="N38" s="185" t="s">
        <v>52</v>
      </c>
      <c r="O38" s="186"/>
      <c r="P38" s="117" t="s">
        <v>2</v>
      </c>
      <c r="Q38" s="117" t="s">
        <v>3</v>
      </c>
      <c r="R38" s="117" t="s">
        <v>4</v>
      </c>
      <c r="S38" s="117" t="s">
        <v>5</v>
      </c>
      <c r="T38" s="117" t="s">
        <v>6</v>
      </c>
      <c r="U38" s="117" t="s">
        <v>7</v>
      </c>
      <c r="V38" s="117" t="s">
        <v>45</v>
      </c>
      <c r="W38" s="117" t="s">
        <v>8</v>
      </c>
      <c r="X38" s="117" t="s">
        <v>9</v>
      </c>
      <c r="Y38" s="117" t="s">
        <v>10</v>
      </c>
      <c r="Z38" s="117" t="s">
        <v>11</v>
      </c>
      <c r="AA38" s="117" t="s">
        <v>12</v>
      </c>
      <c r="AB38" s="118" t="s">
        <v>13</v>
      </c>
      <c r="AC38" s="114"/>
    </row>
    <row r="39" spans="14:29" x14ac:dyDescent="0.25">
      <c r="N39" s="115"/>
      <c r="O39" s="116">
        <v>0</v>
      </c>
      <c r="P39" s="136">
        <f>_xlfn.STDEV.P(P5,P6,P7,P8)</f>
        <v>5.0563012683593658E-4</v>
      </c>
      <c r="Q39" s="136">
        <f t="shared" ref="Q39:AB39" si="4">_xlfn.STDEV.P(Q5,Q6,Q7,Q8)</f>
        <v>2.2157280030612172E-3</v>
      </c>
      <c r="R39" s="136">
        <f t="shared" si="4"/>
        <v>5.0152165928951512E-4</v>
      </c>
      <c r="S39" s="136">
        <f t="shared" si="4"/>
        <v>1.0540158502738502E-3</v>
      </c>
      <c r="T39" s="136">
        <f t="shared" si="4"/>
        <v>2.2157363458405153E-3</v>
      </c>
      <c r="U39" s="136">
        <f t="shared" si="4"/>
        <v>3.5302211642648648E-3</v>
      </c>
      <c r="V39" s="136">
        <f t="shared" si="4"/>
        <v>1.3732912765450477E-2</v>
      </c>
      <c r="W39" s="136"/>
      <c r="X39" s="136">
        <f t="shared" si="4"/>
        <v>1.5165269531359467E-2</v>
      </c>
      <c r="Y39" s="136">
        <f t="shared" si="4"/>
        <v>2.7625086591782588E-2</v>
      </c>
      <c r="Z39" s="136">
        <f t="shared" si="4"/>
        <v>5.3884452440530698E-3</v>
      </c>
      <c r="AA39" s="136">
        <f t="shared" si="4"/>
        <v>1.1433391161647611E-3</v>
      </c>
      <c r="AB39" s="136">
        <f t="shared" si="4"/>
        <v>1.1103228566563662E-2</v>
      </c>
      <c r="AC39" s="114">
        <f>COUNTIFS($I$5:$I$25,"Yes",$E$5:$E$25,O39)</f>
        <v>0</v>
      </c>
    </row>
    <row r="40" spans="14:29" x14ac:dyDescent="0.25">
      <c r="N40" s="115"/>
      <c r="O40" s="116">
        <v>24</v>
      </c>
      <c r="P40" s="94">
        <f>_xlfn.STDEV.P(P9,P10,P11,P12)</f>
        <v>5.1616872507852312E-5</v>
      </c>
      <c r="Q40" s="94">
        <f t="shared" ref="Q40:AB40" si="5">_xlfn.STDEV.P(Q9,Q10,Q11,Q12)</f>
        <v>3.0330202212214681E-4</v>
      </c>
      <c r="R40" s="94">
        <f t="shared" si="5"/>
        <v>4.6964951629063019E-4</v>
      </c>
      <c r="S40" s="94">
        <f t="shared" si="5"/>
        <v>9.7569873605115372E-5</v>
      </c>
      <c r="T40" s="94">
        <f t="shared" si="5"/>
        <v>2.9606342405647391E-4</v>
      </c>
      <c r="U40" s="94">
        <f t="shared" si="5"/>
        <v>3.7621923389906712E-3</v>
      </c>
      <c r="V40" s="94">
        <f t="shared" si="5"/>
        <v>1.0087492744990083E-2</v>
      </c>
      <c r="W40" s="94"/>
      <c r="X40" s="94">
        <f t="shared" si="5"/>
        <v>7.7557694712678702E-3</v>
      </c>
      <c r="Y40" s="94">
        <f t="shared" si="5"/>
        <v>3.0294087766800395E-2</v>
      </c>
      <c r="Z40" s="94">
        <f t="shared" si="5"/>
        <v>1.1212654467552506E-3</v>
      </c>
      <c r="AA40" s="94">
        <f t="shared" si="5"/>
        <v>6.3794820625587387E-4</v>
      </c>
      <c r="AB40" s="94">
        <f t="shared" si="5"/>
        <v>2.3213378866289093E-3</v>
      </c>
      <c r="AC40" s="114">
        <f t="shared" ref="AC40:AC43" si="6">COUNTIFS($I$5:$I$25,"Yes",$E$5:$E$25,O40)</f>
        <v>4</v>
      </c>
    </row>
    <row r="41" spans="14:29" x14ac:dyDescent="0.25">
      <c r="N41" s="115"/>
      <c r="O41" s="116">
        <v>48</v>
      </c>
      <c r="P41" s="94">
        <f>_xlfn.STDEV.P(P13,P14,P15,P16)</f>
        <v>2.2675085861315246E-5</v>
      </c>
      <c r="Q41" s="94">
        <f t="shared" ref="Q41:AB41" si="7">_xlfn.STDEV.P(Q13,Q14,Q15,Q16)</f>
        <v>5.1809416163500082E-4</v>
      </c>
      <c r="R41" s="94">
        <f t="shared" si="7"/>
        <v>7.3397263156675411E-3</v>
      </c>
      <c r="S41" s="94">
        <f t="shared" si="7"/>
        <v>1.1822504283355604E-4</v>
      </c>
      <c r="T41" s="94">
        <f t="shared" si="7"/>
        <v>4.2684484427398824E-4</v>
      </c>
      <c r="U41" s="94">
        <f t="shared" si="7"/>
        <v>3.052080227249029E-3</v>
      </c>
      <c r="V41" s="94">
        <f t="shared" si="7"/>
        <v>4.2500221526537889E-3</v>
      </c>
      <c r="W41" s="94"/>
      <c r="X41" s="94">
        <f t="shared" si="7"/>
        <v>5.2105951192567305E-3</v>
      </c>
      <c r="Y41" s="94">
        <f t="shared" si="7"/>
        <v>7.7406078784882501E-3</v>
      </c>
      <c r="Z41" s="94">
        <f t="shared" si="7"/>
        <v>6.57627921128854E-4</v>
      </c>
      <c r="AA41" s="94">
        <f t="shared" si="7"/>
        <v>7.1078972940822455E-4</v>
      </c>
      <c r="AB41" s="94">
        <f t="shared" si="7"/>
        <v>2.7363692537452386E-3</v>
      </c>
      <c r="AC41" s="114">
        <f t="shared" si="6"/>
        <v>4</v>
      </c>
    </row>
    <row r="42" spans="14:29" x14ac:dyDescent="0.25">
      <c r="N42" s="115"/>
      <c r="O42" s="116">
        <v>72</v>
      </c>
      <c r="P42" s="94">
        <f>_xlfn.STDEV.P(P18,P19)</f>
        <v>6.435645485789087E-7</v>
      </c>
      <c r="Q42" s="94">
        <f t="shared" ref="Q42:AB42" si="8">_xlfn.STDEV.P(Q18,Q19)</f>
        <v>7.0579349085414766E-6</v>
      </c>
      <c r="R42" s="94">
        <f t="shared" si="8"/>
        <v>3.5521088378996989E-6</v>
      </c>
      <c r="S42" s="94">
        <f t="shared" si="8"/>
        <v>6.3052123850238183E-6</v>
      </c>
      <c r="T42" s="94">
        <f t="shared" si="8"/>
        <v>1.7615528209098117E-5</v>
      </c>
      <c r="U42" s="94">
        <f t="shared" si="8"/>
        <v>1.1993437429687326E-4</v>
      </c>
      <c r="V42" s="94">
        <f t="shared" si="8"/>
        <v>8.1182651430035373E-3</v>
      </c>
      <c r="W42" s="94"/>
      <c r="X42" s="94">
        <f t="shared" si="8"/>
        <v>8.782172118049587E-3</v>
      </c>
      <c r="Y42" s="94">
        <f t="shared" si="8"/>
        <v>4.0057940222680642E-3</v>
      </c>
      <c r="Z42" s="94">
        <f t="shared" si="8"/>
        <v>5.7209108546728629E-4</v>
      </c>
      <c r="AA42" s="94">
        <f t="shared" si="8"/>
        <v>5.7638222626279431E-5</v>
      </c>
      <c r="AB42" s="94">
        <f t="shared" si="8"/>
        <v>4.551145033415612E-5</v>
      </c>
      <c r="AC42" s="114">
        <f t="shared" si="6"/>
        <v>2</v>
      </c>
    </row>
    <row r="43" spans="14:29" x14ac:dyDescent="0.25">
      <c r="N43" s="115"/>
      <c r="O43" s="116">
        <v>216</v>
      </c>
      <c r="P43" s="94">
        <f>_xlfn.STDEV.P(P20,P21,P22,P23)</f>
        <v>8.3817734720134444E-6</v>
      </c>
      <c r="Q43" s="94">
        <f t="shared" ref="Q43:AB43" si="9">_xlfn.STDEV.P(Q20,Q21,Q22,Q23)</f>
        <v>3.6172168558753966E-4</v>
      </c>
      <c r="R43" s="94">
        <f t="shared" si="9"/>
        <v>6.372620578444729E-4</v>
      </c>
      <c r="S43" s="94">
        <f t="shared" si="9"/>
        <v>7.8919775377854365E-5</v>
      </c>
      <c r="T43" s="94">
        <f t="shared" si="9"/>
        <v>1.5946136230910721E-4</v>
      </c>
      <c r="U43" s="94">
        <f t="shared" si="9"/>
        <v>3.5881597089695979E-3</v>
      </c>
      <c r="V43" s="94">
        <f t="shared" si="9"/>
        <v>1.5138290258747527E-2</v>
      </c>
      <c r="W43" s="94"/>
      <c r="X43" s="94">
        <f t="shared" si="9"/>
        <v>1.185236016034946E-2</v>
      </c>
      <c r="Y43" s="94">
        <f t="shared" si="9"/>
        <v>9.3305652377142188E-3</v>
      </c>
      <c r="Z43" s="94">
        <f t="shared" si="9"/>
        <v>2.710388423585755E-4</v>
      </c>
      <c r="AA43" s="94">
        <f t="shared" si="9"/>
        <v>2.5963642098329022E-3</v>
      </c>
      <c r="AB43" s="94">
        <f t="shared" si="9"/>
        <v>1.9801917170809462E-4</v>
      </c>
      <c r="AC43" s="114">
        <f t="shared" si="6"/>
        <v>4</v>
      </c>
    </row>
  </sheetData>
  <autoFilter ref="B4:AB25" xr:uid="{00000000-0009-0000-0000-000002000000}">
    <sortState xmlns:xlrd2="http://schemas.microsoft.com/office/spreadsheetml/2017/richdata2" ref="B6:AB25">
      <sortCondition ref="E4:E25"/>
    </sortState>
  </autoFilter>
  <mergeCells count="20">
    <mergeCell ref="N38:O38"/>
    <mergeCell ref="H3:H4"/>
    <mergeCell ref="B3:B4"/>
    <mergeCell ref="C3:C4"/>
    <mergeCell ref="D3:D4"/>
    <mergeCell ref="E3:E4"/>
    <mergeCell ref="G3:G4"/>
    <mergeCell ref="F3:F4"/>
    <mergeCell ref="N27:O27"/>
    <mergeCell ref="N29:O29"/>
    <mergeCell ref="I3:I4"/>
    <mergeCell ref="J3:J4"/>
    <mergeCell ref="K3:K4"/>
    <mergeCell ref="L3:L4"/>
    <mergeCell ref="M3:M4"/>
    <mergeCell ref="N3:N4"/>
    <mergeCell ref="O3:O4"/>
    <mergeCell ref="P37:AB37"/>
    <mergeCell ref="P28:AB28"/>
    <mergeCell ref="P3:AB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105C-23BA-40BF-BD0D-934DB33EEB9B}">
  <dimension ref="B1:AC43"/>
  <sheetViews>
    <sheetView showGridLines="0" zoomScaleNormal="100" workbookViewId="0">
      <selection activeCell="E13" sqref="E13"/>
    </sheetView>
  </sheetViews>
  <sheetFormatPr defaultRowHeight="15" x14ac:dyDescent="0.25"/>
  <cols>
    <col min="1" max="1" width="1.42578125" customWidth="1"/>
    <col min="2" max="2" width="9.140625" style="4"/>
    <col min="5" max="6" width="10.7109375" style="5" customWidth="1"/>
    <col min="7" max="7" width="10" style="5" customWidth="1"/>
    <col min="10" max="10" width="12.140625" style="6" customWidth="1"/>
    <col min="11" max="11" width="11.5703125" style="2" customWidth="1"/>
    <col min="12" max="14" width="11.5703125" style="32" customWidth="1"/>
    <col min="15" max="15" width="10" customWidth="1"/>
    <col min="16" max="28" width="10.28515625" style="3" customWidth="1"/>
    <col min="29" max="29" width="4.85546875" customWidth="1"/>
  </cols>
  <sheetData>
    <row r="1" spans="2:28" ht="23.25" x14ac:dyDescent="0.35">
      <c r="B1" s="31" t="s">
        <v>54</v>
      </c>
    </row>
    <row r="2" spans="2:28" ht="11.25" customHeight="1" thickBot="1" x14ac:dyDescent="0.3">
      <c r="B2" s="30"/>
    </row>
    <row r="3" spans="2:28" ht="17.25" customHeight="1" x14ac:dyDescent="0.25">
      <c r="B3" s="206" t="s">
        <v>0</v>
      </c>
      <c r="C3" s="208" t="s">
        <v>31</v>
      </c>
      <c r="D3" s="208" t="s">
        <v>30</v>
      </c>
      <c r="E3" s="208" t="s">
        <v>15</v>
      </c>
      <c r="F3" s="210" t="s">
        <v>46</v>
      </c>
      <c r="G3" s="200" t="s">
        <v>39</v>
      </c>
      <c r="H3" s="208" t="s">
        <v>16</v>
      </c>
      <c r="I3" s="200" t="s">
        <v>34</v>
      </c>
      <c r="J3" s="210" t="s">
        <v>48</v>
      </c>
      <c r="K3" s="212" t="s">
        <v>17</v>
      </c>
      <c r="L3" s="208" t="s">
        <v>49</v>
      </c>
      <c r="M3" s="200" t="s">
        <v>32</v>
      </c>
      <c r="N3" s="202" t="s">
        <v>28</v>
      </c>
      <c r="O3" s="204" t="s">
        <v>40</v>
      </c>
      <c r="P3" s="197" t="s">
        <v>41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9"/>
    </row>
    <row r="4" spans="2:28" s="1" customFormat="1" ht="26.25" thickBot="1" x14ac:dyDescent="0.3">
      <c r="B4" s="207"/>
      <c r="C4" s="209"/>
      <c r="D4" s="209"/>
      <c r="E4" s="209"/>
      <c r="F4" s="211"/>
      <c r="G4" s="201"/>
      <c r="H4" s="209"/>
      <c r="I4" s="201"/>
      <c r="J4" s="211"/>
      <c r="K4" s="213"/>
      <c r="L4" s="209"/>
      <c r="M4" s="201"/>
      <c r="N4" s="203"/>
      <c r="O4" s="205"/>
      <c r="P4" s="130" t="s">
        <v>2</v>
      </c>
      <c r="Q4" s="37" t="s">
        <v>3</v>
      </c>
      <c r="R4" s="37" t="s">
        <v>4</v>
      </c>
      <c r="S4" s="37" t="s">
        <v>5</v>
      </c>
      <c r="T4" s="37" t="s">
        <v>6</v>
      </c>
      <c r="U4" s="37" t="s">
        <v>7</v>
      </c>
      <c r="V4" s="37" t="s">
        <v>45</v>
      </c>
      <c r="W4" s="37" t="s">
        <v>8</v>
      </c>
      <c r="X4" s="37" t="s">
        <v>9</v>
      </c>
      <c r="Y4" s="37" t="s">
        <v>10</v>
      </c>
      <c r="Z4" s="37" t="s">
        <v>11</v>
      </c>
      <c r="AA4" s="37" t="s">
        <v>12</v>
      </c>
      <c r="AB4" s="38" t="s">
        <v>13</v>
      </c>
    </row>
    <row r="5" spans="2:28" x14ac:dyDescent="0.25">
      <c r="B5" s="19">
        <v>11</v>
      </c>
      <c r="C5" s="7">
        <v>42650</v>
      </c>
      <c r="D5" s="55">
        <v>0.41666666666666669</v>
      </c>
      <c r="E5" s="8">
        <v>0</v>
      </c>
      <c r="F5" s="10">
        <v>267</v>
      </c>
      <c r="G5" s="7">
        <v>42650</v>
      </c>
      <c r="H5" s="9">
        <v>29.9</v>
      </c>
      <c r="I5" s="98" t="s">
        <v>36</v>
      </c>
      <c r="J5" s="10">
        <v>267</v>
      </c>
      <c r="K5" s="9">
        <v>189</v>
      </c>
      <c r="L5" s="57">
        <f t="shared" ref="L5:L23" si="0">K5/J5</f>
        <v>0.7078651685393258</v>
      </c>
      <c r="M5" s="60">
        <v>42659</v>
      </c>
      <c r="N5" s="81">
        <v>0.82314814814814818</v>
      </c>
      <c r="O5" s="126">
        <f t="shared" ref="O5:O23" si="1">(M5+N5)-(C5+D5)</f>
        <v>9.4064814814846613</v>
      </c>
      <c r="P5" s="131">
        <f>VLOOKUP($B5,'Raw Gamma CPM'!$B:$AB,15,FALSE)/EXP(-LN(2)/8.03*$O5)*Standards!$H$23/$F5/VLOOKUP($B5,'Tissue Mass'!$B:$AB,15,FALSE)</f>
        <v>3.6378495973960834E-3</v>
      </c>
      <c r="Q5" s="89">
        <f>VLOOKUP($B5,'Raw Gamma CPM'!$B:$AB,16,FALSE)/EXP(-LN(2)/8.03*$O5)*Standards!$H$23/$F5/VLOOKUP($B5,'Tissue Mass'!$B:$AB,16,FALSE)</f>
        <v>8.810400496564681E-4</v>
      </c>
      <c r="R5" s="89">
        <f>VLOOKUP($B5,'Raw Gamma CPM'!$B:$AB,17,FALSE)/EXP(-LN(2)/8.03*$O5)*Standards!$H$23/$F5/VLOOKUP($B5,'Tissue Mass'!$B:$AB,17,FALSE)</f>
        <v>7.5303975114118012E-5</v>
      </c>
      <c r="S5" s="89">
        <f>VLOOKUP($B5,'Raw Gamma CPM'!$B:$AB,18,FALSE)/EXP(-LN(2)/8.03*$O5)*Standards!$H$23/$F5/VLOOKUP($B5,'Tissue Mass'!$B:$AB,18,FALSE)</f>
        <v>2.0897320197183502E-3</v>
      </c>
      <c r="T5" s="89">
        <f>VLOOKUP($B5,'Raw Gamma CPM'!$B:$AB,19,FALSE)/EXP(-LN(2)/8.03*$O5)*Standards!$H$23/$F5/VLOOKUP($B5,'Tissue Mass'!$B:$AB,19,FALSE)</f>
        <v>3.3871024134792512E-3</v>
      </c>
      <c r="U5" s="89">
        <f>VLOOKUP($B5,'Raw Gamma CPM'!$B:$AB,20,FALSE)/EXP(-LN(2)/8.03*$O5)*Standards!$H$23/$F5/VLOOKUP($B5,'Tissue Mass'!$B:$AB,20,FALSE)</f>
        <v>9.5582271038665446E-3</v>
      </c>
      <c r="V5" s="89">
        <f>VLOOKUP($B5,'Raw Gamma CPM'!$B:$AB,21,FALSE)/EXP(-LN(2)/8.03*$O5)*Standards!$H$23/$F5/VLOOKUP($B5,'Tissue Mass'!$B:$AB,21,FALSE)</f>
        <v>7.5160677374539422E-2</v>
      </c>
      <c r="W5" s="137"/>
      <c r="X5" s="89">
        <f>VLOOKUP($B5,'Raw Gamma CPM'!$B:$AB,23,FALSE)/EXP(-LN(2)/8.03*$O5)*Standards!$H$23/$F5/VLOOKUP($B5,'Tissue Mass'!$B:$AB,23,FALSE)</f>
        <v>0.10116782614979994</v>
      </c>
      <c r="Y5" s="89">
        <f>VLOOKUP($B5,'Raw Gamma CPM'!$B:$AB,24,FALSE)/EXP(-LN(2)/8.03*$O5)*Standards!$H$23/$F5/VLOOKUP($B5,'Tissue Mass'!$B:$AB,24,FALSE)</f>
        <v>1.3438791555537137E-2</v>
      </c>
      <c r="Z5" s="89">
        <f>VLOOKUP($B5,'Raw Gamma CPM'!$B:$AB,25,FALSE)/EXP(-LN(2)/8.03*$O5)*Standards!$H$23/$F5/VLOOKUP($B5,'Tissue Mass'!$B:$AB,25,FALSE)</f>
        <v>4.632522057430687E-3</v>
      </c>
      <c r="AA5" s="89">
        <f>VLOOKUP($B5,'Raw Gamma CPM'!$B:$AB,26,FALSE)/EXP(-LN(2)/8.03*$O5)*Standards!$H$23/$F5/VLOOKUP($B5,'Tissue Mass'!$B:$AB,26,FALSE)</f>
        <v>9.8528699350277742E-3</v>
      </c>
      <c r="AB5" s="90">
        <f>VLOOKUP($B5,'Raw Gamma CPM'!$B:$AB,27,FALSE)/EXP(-LN(2)/8.03*$O5)*Standards!$H$23/$F5/VLOOKUP($B5,'Tissue Mass'!$B:$AB,27,FALSE)</f>
        <v>5.929507478604038E-3</v>
      </c>
    </row>
    <row r="6" spans="2:28" x14ac:dyDescent="0.25">
      <c r="B6" s="21">
        <v>12</v>
      </c>
      <c r="C6" s="12">
        <v>42650</v>
      </c>
      <c r="D6" s="56">
        <v>0.43194444444444446</v>
      </c>
      <c r="E6" s="13">
        <v>0</v>
      </c>
      <c r="F6" s="15">
        <v>83</v>
      </c>
      <c r="G6" s="12">
        <v>42650</v>
      </c>
      <c r="H6" s="14">
        <v>26.9</v>
      </c>
      <c r="I6" s="99" t="s">
        <v>36</v>
      </c>
      <c r="J6" s="15">
        <v>83</v>
      </c>
      <c r="K6" s="14">
        <v>8.1999999999999993</v>
      </c>
      <c r="L6" s="58">
        <f t="shared" si="0"/>
        <v>9.8795180722891562E-2</v>
      </c>
      <c r="M6" s="61">
        <v>42659</v>
      </c>
      <c r="N6" s="82">
        <v>0.82731481481481473</v>
      </c>
      <c r="O6" s="127">
        <f t="shared" si="1"/>
        <v>9.3953703703737119</v>
      </c>
      <c r="P6" s="132">
        <f>VLOOKUP($B6,'Raw Gamma CPM'!$B:$AB,15,FALSE)/EXP(-LN(2)/8.03*$O6)*Standards!$H$23/$F6/VLOOKUP($B6,'Tissue Mass'!$B:$AB,15,FALSE)</f>
        <v>4.8479351234923945E-3</v>
      </c>
      <c r="Q6" s="91">
        <f>VLOOKUP($B6,'Raw Gamma CPM'!$B:$AB,16,FALSE)/EXP(-LN(2)/8.03*$O6)*Standards!$H$23/$F6/VLOOKUP($B6,'Tissue Mass'!$B:$AB,16,FALSE)</f>
        <v>2.4276017838175228E-3</v>
      </c>
      <c r="R6" s="91">
        <f>VLOOKUP($B6,'Raw Gamma CPM'!$B:$AB,17,FALSE)/EXP(-LN(2)/8.03*$O6)*Standards!$H$23/$F6/VLOOKUP($B6,'Tissue Mass'!$B:$AB,17,FALSE)</f>
        <v>1.5108526676792216E-3</v>
      </c>
      <c r="S6" s="91">
        <f>VLOOKUP($B6,'Raw Gamma CPM'!$B:$AB,18,FALSE)/EXP(-LN(2)/8.03*$O6)*Standards!$H$23/$F6/VLOOKUP($B6,'Tissue Mass'!$B:$AB,18,FALSE)</f>
        <v>5.7892632834089398E-3</v>
      </c>
      <c r="T6" s="91">
        <f>VLOOKUP($B6,'Raw Gamma CPM'!$B:$AB,19,FALSE)/EXP(-LN(2)/8.03*$O6)*Standards!$H$23/$F6/VLOOKUP($B6,'Tissue Mass'!$B:$AB,19,FALSE)</f>
        <v>1.2784648863094156E-2</v>
      </c>
      <c r="U6" s="91">
        <f>VLOOKUP($B6,'Raw Gamma CPM'!$B:$AB,20,FALSE)/EXP(-LN(2)/8.03*$O6)*Standards!$H$23/$F6/VLOOKUP($B6,'Tissue Mass'!$B:$AB,20,FALSE)</f>
        <v>8.4162866556146687E-3</v>
      </c>
      <c r="V6" s="91">
        <f>VLOOKUP($B6,'Raw Gamma CPM'!$B:$AB,21,FALSE)/EXP(-LN(2)/8.03*$O6)*Standards!$H$23/$F6/VLOOKUP($B6,'Tissue Mass'!$B:$AB,21,FALSE)</f>
        <v>0.24286632720579232</v>
      </c>
      <c r="W6" s="138"/>
      <c r="X6" s="91">
        <f>VLOOKUP($B6,'Raw Gamma CPM'!$B:$AB,23,FALSE)/EXP(-LN(2)/8.03*$O6)*Standards!$H$23/$F6/VLOOKUP($B6,'Tissue Mass'!$B:$AB,23,FALSE)</f>
        <v>0.1288285404102861</v>
      </c>
      <c r="Y6" s="91">
        <f>VLOOKUP($B6,'Raw Gamma CPM'!$B:$AB,24,FALSE)/EXP(-LN(2)/8.03*$O6)*Standards!$H$23/$F6/VLOOKUP($B6,'Tissue Mass'!$B:$AB,24,FALSE)</f>
        <v>1.4439049674986597E-2</v>
      </c>
      <c r="Z6" s="91">
        <f>VLOOKUP($B6,'Raw Gamma CPM'!$B:$AB,25,FALSE)/EXP(-LN(2)/8.03*$O6)*Standards!$H$23/$F6/VLOOKUP($B6,'Tissue Mass'!$B:$AB,25,FALSE)</f>
        <v>5.6894458978051336E-3</v>
      </c>
      <c r="AA6" s="91">
        <f>VLOOKUP($B6,'Raw Gamma CPM'!$B:$AB,26,FALSE)/EXP(-LN(2)/8.03*$O6)*Standards!$H$23/$F6/VLOOKUP($B6,'Tissue Mass'!$B:$AB,26,FALSE)</f>
        <v>1.3164150482766517E-2</v>
      </c>
      <c r="AB6" s="92">
        <f>VLOOKUP($B6,'Raw Gamma CPM'!$B:$AB,27,FALSE)/EXP(-LN(2)/8.03*$O6)*Standards!$H$23/$F6/VLOOKUP($B6,'Tissue Mass'!$B:$AB,27,FALSE)</f>
        <v>6.1833705536516728E-3</v>
      </c>
    </row>
    <row r="7" spans="2:28" x14ac:dyDescent="0.25">
      <c r="B7" s="21">
        <v>13</v>
      </c>
      <c r="C7" s="12">
        <v>42650</v>
      </c>
      <c r="D7" s="56">
        <v>0.45</v>
      </c>
      <c r="E7" s="13">
        <v>0</v>
      </c>
      <c r="F7" s="15">
        <v>16.2</v>
      </c>
      <c r="G7" s="12">
        <v>42650</v>
      </c>
      <c r="H7" s="14">
        <v>38.799999999999997</v>
      </c>
      <c r="I7" s="99" t="s">
        <v>36</v>
      </c>
      <c r="J7" s="15">
        <v>16.2</v>
      </c>
      <c r="K7" s="14">
        <v>7.9</v>
      </c>
      <c r="L7" s="58">
        <f t="shared" si="0"/>
        <v>0.48765432098765438</v>
      </c>
      <c r="M7" s="61">
        <v>42659</v>
      </c>
      <c r="N7" s="82">
        <v>0.83148148148148149</v>
      </c>
      <c r="O7" s="127">
        <f t="shared" si="1"/>
        <v>9.3814814814832062</v>
      </c>
      <c r="P7" s="132">
        <f>VLOOKUP($B7,'Raw Gamma CPM'!$B:$AB,15,FALSE)/EXP(-LN(2)/8.03*$O7)*Standards!$H$23/$F7/VLOOKUP($B7,'Tissue Mass'!$B:$AB,15,FALSE)</f>
        <v>9.5697099873161776E-3</v>
      </c>
      <c r="Q7" s="91">
        <f>VLOOKUP($B7,'Raw Gamma CPM'!$B:$AB,16,FALSE)/EXP(-LN(2)/8.03*$O7)*Standards!$H$23/$F7/VLOOKUP($B7,'Tissue Mass'!$B:$AB,16,FALSE)</f>
        <v>2.2417138256410538E-2</v>
      </c>
      <c r="R7" s="91">
        <f>VLOOKUP($B7,'Raw Gamma CPM'!$B:$AB,17,FALSE)/EXP(-LN(2)/8.03*$O7)*Standards!$H$23/$F7/VLOOKUP($B7,'Tissue Mass'!$B:$AB,17,FALSE)</f>
        <v>4.9818491261192045E-3</v>
      </c>
      <c r="S7" s="91">
        <f>VLOOKUP($B7,'Raw Gamma CPM'!$B:$AB,18,FALSE)/EXP(-LN(2)/8.03*$O7)*Standards!$H$23/$F7/VLOOKUP($B7,'Tissue Mass'!$B:$AB,18,FALSE)</f>
        <v>1.1892703802059442E-2</v>
      </c>
      <c r="T7" s="91">
        <f>VLOOKUP($B7,'Raw Gamma CPM'!$B:$AB,19,FALSE)/EXP(-LN(2)/8.03*$O7)*Standards!$H$23/$F7/VLOOKUP($B7,'Tissue Mass'!$B:$AB,19,FALSE)</f>
        <v>3.1713247567256568E-2</v>
      </c>
      <c r="U7" s="91">
        <f>VLOOKUP($B7,'Raw Gamma CPM'!$B:$AB,20,FALSE)/EXP(-LN(2)/8.03*$O7)*Standards!$H$23/$F7/VLOOKUP($B7,'Tissue Mass'!$B:$AB,20,FALSE)</f>
        <v>9.2922923006628026E-3</v>
      </c>
      <c r="V7" s="91">
        <f>VLOOKUP($B7,'Raw Gamma CPM'!$B:$AB,21,FALSE)/EXP(-LN(2)/8.03*$O7)*Standards!$H$23/$F7/VLOOKUP($B7,'Tissue Mass'!$B:$AB,21,FALSE)</f>
        <v>0.57385442387536012</v>
      </c>
      <c r="W7" s="138"/>
      <c r="X7" s="91">
        <f>VLOOKUP($B7,'Raw Gamma CPM'!$B:$AB,23,FALSE)/EXP(-LN(2)/8.03*$O7)*Standards!$H$23/$F7/VLOOKUP($B7,'Tissue Mass'!$B:$AB,23,FALSE)</f>
        <v>3.5073281391898581E-2</v>
      </c>
      <c r="Y7" s="91">
        <f>VLOOKUP($B7,'Raw Gamma CPM'!$B:$AB,24,FALSE)/EXP(-LN(2)/8.03*$O7)*Standards!$H$23/$F7/VLOOKUP($B7,'Tissue Mass'!$B:$AB,24,FALSE)</f>
        <v>3.2492907779730268E-2</v>
      </c>
      <c r="Z7" s="91">
        <f>VLOOKUP($B7,'Raw Gamma CPM'!$B:$AB,25,FALSE)/EXP(-LN(2)/8.03*$O7)*Standards!$H$23/$F7/VLOOKUP($B7,'Tissue Mass'!$B:$AB,25,FALSE)</f>
        <v>1.2745524143750228E-2</v>
      </c>
      <c r="AA7" s="91">
        <f>VLOOKUP($B7,'Raw Gamma CPM'!$B:$AB,26,FALSE)/EXP(-LN(2)/8.03*$O7)*Standards!$H$23/$F7/VLOOKUP($B7,'Tissue Mass'!$B:$AB,26,FALSE)</f>
        <v>1.485065188057956E-2</v>
      </c>
      <c r="AB7" s="92">
        <f>VLOOKUP($B7,'Raw Gamma CPM'!$B:$AB,27,FALSE)/EXP(-LN(2)/8.03*$O7)*Standards!$H$23/$F7/VLOOKUP($B7,'Tissue Mass'!$B:$AB,27,FALSE)</f>
        <v>1.2313487109079693E-2</v>
      </c>
    </row>
    <row r="8" spans="2:28" x14ac:dyDescent="0.25">
      <c r="B8" s="21">
        <v>14</v>
      </c>
      <c r="C8" s="12">
        <v>42650</v>
      </c>
      <c r="D8" s="56">
        <v>0.46249999999999997</v>
      </c>
      <c r="E8" s="13">
        <v>0</v>
      </c>
      <c r="F8" s="15">
        <v>26.9</v>
      </c>
      <c r="G8" s="12">
        <v>42650</v>
      </c>
      <c r="H8" s="14">
        <v>30.3</v>
      </c>
      <c r="I8" s="99" t="s">
        <v>36</v>
      </c>
      <c r="J8" s="15">
        <v>26.9</v>
      </c>
      <c r="K8" s="14">
        <v>12.3</v>
      </c>
      <c r="L8" s="58">
        <f t="shared" si="0"/>
        <v>0.45724907063197029</v>
      </c>
      <c r="M8" s="61">
        <v>42659</v>
      </c>
      <c r="N8" s="82">
        <v>0.83564814814814825</v>
      </c>
      <c r="O8" s="127">
        <f t="shared" si="1"/>
        <v>9.3731481481445371</v>
      </c>
      <c r="P8" s="132">
        <f>VLOOKUP($B8,'Raw Gamma CPM'!$B:$AB,15,FALSE)/EXP(-LN(2)/8.03*$O8)*Standards!$H$23/$F8/VLOOKUP($B8,'Tissue Mass'!$B:$AB,15,FALSE)</f>
        <v>1.4806939520865939E-2</v>
      </c>
      <c r="Q8" s="91">
        <f>VLOOKUP($B8,'Raw Gamma CPM'!$B:$AB,16,FALSE)/EXP(-LN(2)/8.03*$O8)*Standards!$H$23/$F8/VLOOKUP($B8,'Tissue Mass'!$B:$AB,16,FALSE)</f>
        <v>6.4592306214486389E-3</v>
      </c>
      <c r="R8" s="91">
        <f>VLOOKUP($B8,'Raw Gamma CPM'!$B:$AB,17,FALSE)/EXP(-LN(2)/8.03*$O8)*Standards!$H$23/$F8/VLOOKUP($B8,'Tissue Mass'!$B:$AB,17,FALSE)</f>
        <v>5.028648703392539E-4</v>
      </c>
      <c r="S8" s="91">
        <f>VLOOKUP($B8,'Raw Gamma CPM'!$B:$AB,18,FALSE)/EXP(-LN(2)/8.03*$O8)*Standards!$H$23/$F8/VLOOKUP($B8,'Tissue Mass'!$B:$AB,18,FALSE)</f>
        <v>7.3561086799467587E-3</v>
      </c>
      <c r="T8" s="91">
        <f>VLOOKUP($B8,'Raw Gamma CPM'!$B:$AB,19,FALSE)/EXP(-LN(2)/8.03*$O8)*Standards!$H$23/$F8/VLOOKUP($B8,'Tissue Mass'!$B:$AB,19,FALSE)</f>
        <v>1.9745924370899347E-2</v>
      </c>
      <c r="U8" s="91">
        <f>VLOOKUP($B8,'Raw Gamma CPM'!$B:$AB,20,FALSE)/EXP(-LN(2)/8.03*$O8)*Standards!$H$23/$F8/VLOOKUP($B8,'Tissue Mass'!$B:$AB,20,FALSE)</f>
        <v>1.4943058017086184E-2</v>
      </c>
      <c r="V8" s="91">
        <f>VLOOKUP($B8,'Raw Gamma CPM'!$B:$AB,21,FALSE)/EXP(-LN(2)/8.03*$O8)*Standards!$H$23/$F8/VLOOKUP($B8,'Tissue Mass'!$B:$AB,21,FALSE)</f>
        <v>0.34584836226215476</v>
      </c>
      <c r="W8" s="138"/>
      <c r="X8" s="91">
        <f>VLOOKUP($B8,'Raw Gamma CPM'!$B:$AB,23,FALSE)/EXP(-LN(2)/8.03*$O8)*Standards!$H$23/$F8/VLOOKUP($B8,'Tissue Mass'!$B:$AB,23,FALSE)</f>
        <v>0.35350895585683173</v>
      </c>
      <c r="Y8" s="91">
        <f>VLOOKUP($B8,'Raw Gamma CPM'!$B:$AB,24,FALSE)/EXP(-LN(2)/8.03*$O8)*Standards!$H$23/$F8/VLOOKUP($B8,'Tissue Mass'!$B:$AB,24,FALSE)</f>
        <v>0.10893009860970874</v>
      </c>
      <c r="Z8" s="91">
        <f>VLOOKUP($B8,'Raw Gamma CPM'!$B:$AB,25,FALSE)/EXP(-LN(2)/8.03*$O8)*Standards!$H$23/$F8/VLOOKUP($B8,'Tissue Mass'!$B:$AB,25,FALSE)</f>
        <v>2.5302133164687674E-2</v>
      </c>
      <c r="AA8" s="91">
        <f>VLOOKUP($B8,'Raw Gamma CPM'!$B:$AB,26,FALSE)/EXP(-LN(2)/8.03*$O8)*Standards!$H$23/$F8/VLOOKUP($B8,'Tissue Mass'!$B:$AB,26,FALSE)</f>
        <v>1.7183104140327723E-2</v>
      </c>
      <c r="AB8" s="92">
        <f>VLOOKUP($B8,'Raw Gamma CPM'!$B:$AB,27,FALSE)/EXP(-LN(2)/8.03*$O8)*Standards!$H$23/$F8/VLOOKUP($B8,'Tissue Mass'!$B:$AB,27,FALSE)</f>
        <v>1.633582354385019E-2</v>
      </c>
    </row>
    <row r="9" spans="2:28" x14ac:dyDescent="0.25">
      <c r="B9" s="21">
        <v>41</v>
      </c>
      <c r="C9" s="12">
        <v>42650</v>
      </c>
      <c r="D9" s="56">
        <v>0.60138888888888886</v>
      </c>
      <c r="E9" s="13">
        <v>24</v>
      </c>
      <c r="F9" s="15">
        <v>103.7</v>
      </c>
      <c r="G9" s="12">
        <v>42651</v>
      </c>
      <c r="H9" s="14">
        <v>31.1</v>
      </c>
      <c r="I9" s="99" t="s">
        <v>35</v>
      </c>
      <c r="J9" s="15">
        <v>92.9</v>
      </c>
      <c r="K9" s="14">
        <v>80</v>
      </c>
      <c r="L9" s="58">
        <f t="shared" si="0"/>
        <v>0.86114101184068881</v>
      </c>
      <c r="M9" s="61">
        <v>42659</v>
      </c>
      <c r="N9" s="82">
        <v>0.89684027777777775</v>
      </c>
      <c r="O9" s="127">
        <f t="shared" si="1"/>
        <v>9.2954513888835208</v>
      </c>
      <c r="P9" s="132">
        <f>VLOOKUP($B9,'Raw Gamma CPM'!$B:$AB,15,FALSE)/EXP(-LN(2)/8.03*$O9)*Standards!$H$23/$F9/VLOOKUP($B9,'Tissue Mass'!$B:$AB,15,FALSE)</f>
        <v>4.7729187749076014E-4</v>
      </c>
      <c r="Q9" s="91">
        <f>VLOOKUP($B9,'Raw Gamma CPM'!$B:$AB,16,FALSE)/EXP(-LN(2)/8.03*$O9)*Standards!$H$23/$F9/VLOOKUP($B9,'Tissue Mass'!$B:$AB,16,FALSE)</f>
        <v>3.8660222459461118E-3</v>
      </c>
      <c r="R9" s="91">
        <f>VLOOKUP($B9,'Raw Gamma CPM'!$B:$AB,17,FALSE)/EXP(-LN(2)/8.03*$O9)*Standards!$H$23/$F9/VLOOKUP($B9,'Tissue Mass'!$B:$AB,17,FALSE)</f>
        <v>8.5983767242931008E-3</v>
      </c>
      <c r="S9" s="91">
        <f>VLOOKUP($B9,'Raw Gamma CPM'!$B:$AB,18,FALSE)/EXP(-LN(2)/8.03*$O9)*Standards!$H$23/$F9/VLOOKUP($B9,'Tissue Mass'!$B:$AB,18,FALSE)</f>
        <v>1.8437544343265907E-3</v>
      </c>
      <c r="T9" s="91">
        <f>VLOOKUP($B9,'Raw Gamma CPM'!$B:$AB,19,FALSE)/EXP(-LN(2)/8.03*$O9)*Standards!$H$23/$F9/VLOOKUP($B9,'Tissue Mass'!$B:$AB,19,FALSE)</f>
        <v>4.0830847895020842E-3</v>
      </c>
      <c r="U9" s="91">
        <f>VLOOKUP($B9,'Raw Gamma CPM'!$B:$AB,20,FALSE)/EXP(-LN(2)/8.03*$O9)*Standards!$H$23/$F9/VLOOKUP($B9,'Tissue Mass'!$B:$AB,20,FALSE)</f>
        <v>1.1226908932333675E-3</v>
      </c>
      <c r="V9" s="91">
        <f>VLOOKUP($B9,'Raw Gamma CPM'!$B:$AB,21,FALSE)/EXP(-LN(2)/8.03*$O9)*Standards!$H$23/$F9/VLOOKUP($B9,'Tissue Mass'!$B:$AB,21,FALSE)</f>
        <v>8.6095777617647959E-2</v>
      </c>
      <c r="W9" s="138"/>
      <c r="X9" s="91">
        <f>VLOOKUP($B9,'Raw Gamma CPM'!$B:$AB,23,FALSE)/EXP(-LN(2)/8.03*$O9)*Standards!$H$23/$F9/VLOOKUP($B9,'Tissue Mass'!$B:$AB,23,FALSE)</f>
        <v>2.9630683288550751E-2</v>
      </c>
      <c r="Y9" s="91">
        <f>VLOOKUP($B9,'Raw Gamma CPM'!$B:$AB,24,FALSE)/EXP(-LN(2)/8.03*$O9)*Standards!$H$23/$F9/VLOOKUP($B9,'Tissue Mass'!$B:$AB,24,FALSE)</f>
        <v>1.994813729270695E-2</v>
      </c>
      <c r="Z9" s="91">
        <f>VLOOKUP($B9,'Raw Gamma CPM'!$B:$AB,25,FALSE)/EXP(-LN(2)/8.03*$O9)*Standards!$H$23/$F9/VLOOKUP($B9,'Tissue Mass'!$B:$AB,25,FALSE)</f>
        <v>1.3242927306228241E-3</v>
      </c>
      <c r="AA9" s="91">
        <f>VLOOKUP($B9,'Raw Gamma CPM'!$B:$AB,26,FALSE)/EXP(-LN(2)/8.03*$O9)*Standards!$H$23/$F9/VLOOKUP($B9,'Tissue Mass'!$B:$AB,26,FALSE)</f>
        <v>3.2454751886268674E-3</v>
      </c>
      <c r="AB9" s="92">
        <f>VLOOKUP($B9,'Raw Gamma CPM'!$B:$AB,27,FALSE)/EXP(-LN(2)/8.03*$O9)*Standards!$H$23/$F9/VLOOKUP($B9,'Tissue Mass'!$B:$AB,27,FALSE)</f>
        <v>1.0783190648321957E-2</v>
      </c>
    </row>
    <row r="10" spans="2:28" x14ac:dyDescent="0.25">
      <c r="B10" s="21">
        <v>42</v>
      </c>
      <c r="C10" s="12">
        <v>42650</v>
      </c>
      <c r="D10" s="56">
        <v>0.61388888888888882</v>
      </c>
      <c r="E10" s="13">
        <v>24</v>
      </c>
      <c r="F10" s="15">
        <v>33.700000000000003</v>
      </c>
      <c r="G10" s="12">
        <v>42651</v>
      </c>
      <c r="H10" s="14">
        <v>29.6</v>
      </c>
      <c r="I10" s="99" t="s">
        <v>35</v>
      </c>
      <c r="J10" s="15">
        <v>21.7</v>
      </c>
      <c r="K10" s="14">
        <v>16.600000000000001</v>
      </c>
      <c r="L10" s="58">
        <f t="shared" si="0"/>
        <v>0.76497695852534575</v>
      </c>
      <c r="M10" s="61">
        <v>42659</v>
      </c>
      <c r="N10" s="82">
        <v>0.90100694444444451</v>
      </c>
      <c r="O10" s="127">
        <f t="shared" si="1"/>
        <v>9.2871180555521278</v>
      </c>
      <c r="P10" s="132">
        <f>VLOOKUP($B10,'Raw Gamma CPM'!$B:$AB,15,FALSE)/EXP(-LN(2)/8.03*$O10)*Standards!$H$23/$F10/VLOOKUP($B10,'Tissue Mass'!$B:$AB,15,FALSE)</f>
        <v>1.8797505078161022E-3</v>
      </c>
      <c r="Q10" s="91">
        <f>VLOOKUP($B10,'Raw Gamma CPM'!$B:$AB,16,FALSE)/EXP(-LN(2)/8.03*$O10)*Standards!$H$23/$F10/VLOOKUP($B10,'Tissue Mass'!$B:$AB,16,FALSE)</f>
        <v>2.1986736545293655E-3</v>
      </c>
      <c r="R10" s="91">
        <f>VLOOKUP($B10,'Raw Gamma CPM'!$B:$AB,17,FALSE)/EXP(-LN(2)/8.03*$O10)*Standards!$H$23/$F10/VLOOKUP($B10,'Tissue Mass'!$B:$AB,17,FALSE)</f>
        <v>1.4685011994278539E-3</v>
      </c>
      <c r="S10" s="91">
        <f>VLOOKUP($B10,'Raw Gamma CPM'!$B:$AB,18,FALSE)/EXP(-LN(2)/8.03*$O10)*Standards!$H$23/$F10/VLOOKUP($B10,'Tissue Mass'!$B:$AB,18,FALSE)</f>
        <v>1.2367948811904952E-3</v>
      </c>
      <c r="T10" s="91">
        <f>VLOOKUP($B10,'Raw Gamma CPM'!$B:$AB,19,FALSE)/EXP(-LN(2)/8.03*$O10)*Standards!$H$23/$F10/VLOOKUP($B10,'Tissue Mass'!$B:$AB,19,FALSE)</f>
        <v>3.1385262660471483E-3</v>
      </c>
      <c r="U10" s="91">
        <f>VLOOKUP($B10,'Raw Gamma CPM'!$B:$AB,20,FALSE)/EXP(-LN(2)/8.03*$O10)*Standards!$H$23/$F10/VLOOKUP($B10,'Tissue Mass'!$B:$AB,20,FALSE)</f>
        <v>6.2196884200730789E-3</v>
      </c>
      <c r="V10" s="91">
        <f>VLOOKUP($B10,'Raw Gamma CPM'!$B:$AB,21,FALSE)/EXP(-LN(2)/8.03*$O10)*Standards!$H$23/$F10/VLOOKUP($B10,'Tissue Mass'!$B:$AB,21,FALSE)</f>
        <v>0.15027973425360766</v>
      </c>
      <c r="W10" s="138"/>
      <c r="X10" s="91">
        <f>VLOOKUP($B10,'Raw Gamma CPM'!$B:$AB,23,FALSE)/EXP(-LN(2)/8.03*$O10)*Standards!$H$23/$F10/VLOOKUP($B10,'Tissue Mass'!$B:$AB,23,FALSE)</f>
        <v>0.18463156743242842</v>
      </c>
      <c r="Y10" s="91">
        <f>VLOOKUP($B10,'Raw Gamma CPM'!$B:$AB,24,FALSE)/EXP(-LN(2)/8.03*$O10)*Standards!$H$23/$F10/VLOOKUP($B10,'Tissue Mass'!$B:$AB,24,FALSE)</f>
        <v>5.6647893150803055E-2</v>
      </c>
      <c r="Z10" s="91">
        <f>VLOOKUP($B10,'Raw Gamma CPM'!$B:$AB,25,FALSE)/EXP(-LN(2)/8.03*$O10)*Standards!$H$23/$F10/VLOOKUP($B10,'Tissue Mass'!$B:$AB,25,FALSE)</f>
        <v>8.6870179017641547E-3</v>
      </c>
      <c r="AA10" s="91">
        <f>VLOOKUP($B10,'Raw Gamma CPM'!$B:$AB,26,FALSE)/EXP(-LN(2)/8.03*$O10)*Standards!$H$23/$F10/VLOOKUP($B10,'Tissue Mass'!$B:$AB,26,FALSE)</f>
        <v>3.6084155645050831E-3</v>
      </c>
      <c r="AB10" s="92">
        <f>VLOOKUP($B10,'Raw Gamma CPM'!$B:$AB,27,FALSE)/EXP(-LN(2)/8.03*$O10)*Standards!$H$23/$F10/VLOOKUP($B10,'Tissue Mass'!$B:$AB,27,FALSE)</f>
        <v>5.9229541665980759E-3</v>
      </c>
    </row>
    <row r="11" spans="2:28" x14ac:dyDescent="0.25">
      <c r="B11" s="21">
        <v>51</v>
      </c>
      <c r="C11" s="12">
        <v>42650</v>
      </c>
      <c r="D11" s="56">
        <v>0.66041666666666665</v>
      </c>
      <c r="E11" s="13">
        <v>24</v>
      </c>
      <c r="F11" s="15">
        <v>154</v>
      </c>
      <c r="G11" s="12">
        <v>42651</v>
      </c>
      <c r="H11" s="14">
        <v>26.6</v>
      </c>
      <c r="I11" s="99" t="s">
        <v>35</v>
      </c>
      <c r="J11" s="15">
        <v>134.69999999999999</v>
      </c>
      <c r="K11" s="14">
        <v>133.6</v>
      </c>
      <c r="L11" s="58">
        <f t="shared" si="0"/>
        <v>0.99183370452858211</v>
      </c>
      <c r="M11" s="61">
        <v>42659</v>
      </c>
      <c r="N11" s="82">
        <v>0.90517361111111105</v>
      </c>
      <c r="O11" s="127">
        <f t="shared" si="1"/>
        <v>9.2447569444484543</v>
      </c>
      <c r="P11" s="132">
        <f>VLOOKUP($B11,'Raw Gamma CPM'!$B:$AB,15,FALSE)/EXP(-LN(2)/8.03*$O11)*Standards!$H$23/$F11/VLOOKUP($B11,'Tissue Mass'!$B:$AB,15,FALSE)</f>
        <v>9.1631173627514876E-4</v>
      </c>
      <c r="Q11" s="91">
        <f>VLOOKUP($B11,'Raw Gamma CPM'!$B:$AB,16,FALSE)/EXP(-LN(2)/8.03*$O11)*Standards!$H$23/$F11/VLOOKUP($B11,'Tissue Mass'!$B:$AB,16,FALSE)</f>
        <v>7.2494326566874593E-4</v>
      </c>
      <c r="R11" s="91">
        <f>VLOOKUP($B11,'Raw Gamma CPM'!$B:$AB,17,FALSE)/EXP(-LN(2)/8.03*$O11)*Standards!$H$23/$F11/VLOOKUP($B11,'Tissue Mass'!$B:$AB,17,FALSE)</f>
        <v>7.6232390804161166E-5</v>
      </c>
      <c r="S11" s="91">
        <f>VLOOKUP($B11,'Raw Gamma CPM'!$B:$AB,18,FALSE)/EXP(-LN(2)/8.03*$O11)*Standards!$H$23/$F11/VLOOKUP($B11,'Tissue Mass'!$B:$AB,18,FALSE)</f>
        <v>5.6397485857412051E-4</v>
      </c>
      <c r="T11" s="91">
        <f>VLOOKUP($B11,'Raw Gamma CPM'!$B:$AB,19,FALSE)/EXP(-LN(2)/8.03*$O11)*Standards!$H$23/$F11/VLOOKUP($B11,'Tissue Mass'!$B:$AB,19,FALSE)</f>
        <v>9.8309815473489781E-4</v>
      </c>
      <c r="U11" s="91">
        <f>VLOOKUP($B11,'Raw Gamma CPM'!$B:$AB,20,FALSE)/EXP(-LN(2)/8.03*$O11)*Standards!$H$23/$F11/VLOOKUP($B11,'Tissue Mass'!$B:$AB,20,FALSE)</f>
        <v>3.7250341291002577E-3</v>
      </c>
      <c r="V11" s="91">
        <f>VLOOKUP($B11,'Raw Gamma CPM'!$B:$AB,21,FALSE)/EXP(-LN(2)/8.03*$O11)*Standards!$H$23/$F11/VLOOKUP($B11,'Tissue Mass'!$B:$AB,21,FALSE)</f>
        <v>5.6156449716430147E-3</v>
      </c>
      <c r="W11" s="138"/>
      <c r="X11" s="91">
        <f>VLOOKUP($B11,'Raw Gamma CPM'!$B:$AB,23,FALSE)/EXP(-LN(2)/8.03*$O11)*Standards!$H$23/$F11/VLOOKUP($B11,'Tissue Mass'!$B:$AB,23,FALSE)</f>
        <v>2.1471458545336927E-2</v>
      </c>
      <c r="Y11" s="91">
        <f>VLOOKUP($B11,'Raw Gamma CPM'!$B:$AB,24,FALSE)/EXP(-LN(2)/8.03*$O11)*Standards!$H$23/$F11/VLOOKUP($B11,'Tissue Mass'!$B:$AB,24,FALSE)</f>
        <v>6.1370744325075525E-3</v>
      </c>
      <c r="Z11" s="91">
        <f>VLOOKUP($B11,'Raw Gamma CPM'!$B:$AB,25,FALSE)/EXP(-LN(2)/8.03*$O11)*Standards!$H$23/$F11/VLOOKUP($B11,'Tissue Mass'!$B:$AB,25,FALSE)</f>
        <v>1.9621819610071397E-3</v>
      </c>
      <c r="AA11" s="91">
        <f>VLOOKUP($B11,'Raw Gamma CPM'!$B:$AB,26,FALSE)/EXP(-LN(2)/8.03*$O11)*Standards!$H$23/$F11/VLOOKUP($B11,'Tissue Mass'!$B:$AB,26,FALSE)</f>
        <v>6.6955590865671591E-4</v>
      </c>
      <c r="AB11" s="92">
        <f>VLOOKUP($B11,'Raw Gamma CPM'!$B:$AB,27,FALSE)/EXP(-LN(2)/8.03*$O11)*Standards!$H$23/$F11/VLOOKUP($B11,'Tissue Mass'!$B:$AB,27,FALSE)</f>
        <v>4.920194814715121E-3</v>
      </c>
    </row>
    <row r="12" spans="2:28" x14ac:dyDescent="0.25">
      <c r="B12" s="21">
        <v>52</v>
      </c>
      <c r="C12" s="12">
        <v>42650</v>
      </c>
      <c r="D12" s="56">
        <v>0.67222222222222217</v>
      </c>
      <c r="E12" s="13">
        <v>24</v>
      </c>
      <c r="F12" s="15">
        <v>207</v>
      </c>
      <c r="G12" s="12">
        <v>42651</v>
      </c>
      <c r="H12" s="14">
        <v>28.2</v>
      </c>
      <c r="I12" s="99" t="s">
        <v>35</v>
      </c>
      <c r="J12" s="15">
        <v>159.69999999999999</v>
      </c>
      <c r="K12" s="14">
        <v>82.5</v>
      </c>
      <c r="L12" s="58">
        <f t="shared" si="0"/>
        <v>0.51659361302442086</v>
      </c>
      <c r="M12" s="61">
        <v>42659</v>
      </c>
      <c r="N12" s="82">
        <v>0.90934027777777782</v>
      </c>
      <c r="O12" s="127">
        <f t="shared" si="1"/>
        <v>9.2371180555564933</v>
      </c>
      <c r="P12" s="132">
        <f>VLOOKUP($B12,'Raw Gamma CPM'!$B:$AB,15,FALSE)/EXP(-LN(2)/8.03*$O12)*Standards!$H$23/$F12/VLOOKUP($B12,'Tissue Mass'!$B:$AB,15,FALSE)</f>
        <v>2.0106433737851655E-3</v>
      </c>
      <c r="Q12" s="91">
        <f>VLOOKUP($B12,'Raw Gamma CPM'!$B:$AB,16,FALSE)/EXP(-LN(2)/8.03*$O12)*Standards!$H$23/$F12/VLOOKUP($B12,'Tissue Mass'!$B:$AB,16,FALSE)</f>
        <v>2.1007148250434598E-3</v>
      </c>
      <c r="R12" s="91">
        <f>VLOOKUP($B12,'Raw Gamma CPM'!$B:$AB,17,FALSE)/EXP(-LN(2)/8.03*$O12)*Standards!$H$23/$F12/VLOOKUP($B12,'Tissue Mass'!$B:$AB,17,FALSE)</f>
        <v>4.0983459921833232E-4</v>
      </c>
      <c r="S12" s="91">
        <f>VLOOKUP($B12,'Raw Gamma CPM'!$B:$AB,18,FALSE)/EXP(-LN(2)/8.03*$O12)*Standards!$H$23/$F12/VLOOKUP($B12,'Tissue Mass'!$B:$AB,18,FALSE)</f>
        <v>1.057869973158826E-3</v>
      </c>
      <c r="T12" s="91">
        <f>VLOOKUP($B12,'Raw Gamma CPM'!$B:$AB,19,FALSE)/EXP(-LN(2)/8.03*$O12)*Standards!$H$23/$F12/VLOOKUP($B12,'Tissue Mass'!$B:$AB,19,FALSE)</f>
        <v>1.5112104316635077E-3</v>
      </c>
      <c r="U12" s="91">
        <f>VLOOKUP($B12,'Raw Gamma CPM'!$B:$AB,20,FALSE)/EXP(-LN(2)/8.03*$O12)*Standards!$H$23/$F12/VLOOKUP($B12,'Tissue Mass'!$B:$AB,20,FALSE)</f>
        <v>1.5318002401981568E-3</v>
      </c>
      <c r="V12" s="91">
        <f>VLOOKUP($B12,'Raw Gamma CPM'!$B:$AB,21,FALSE)/EXP(-LN(2)/8.03*$O12)*Standards!$H$23/$F12/VLOOKUP($B12,'Tissue Mass'!$B:$AB,21,FALSE)</f>
        <v>7.73750688736772E-3</v>
      </c>
      <c r="W12" s="138"/>
      <c r="X12" s="91">
        <f>VLOOKUP($B12,'Raw Gamma CPM'!$B:$AB,23,FALSE)/EXP(-LN(2)/8.03*$O12)*Standards!$H$23/$F12/VLOOKUP($B12,'Tissue Mass'!$B:$AB,23,FALSE)</f>
        <v>7.7726771668394104E-2</v>
      </c>
      <c r="Y12" s="91">
        <f>VLOOKUP($B12,'Raw Gamma CPM'!$B:$AB,24,FALSE)/EXP(-LN(2)/8.03*$O12)*Standards!$H$23/$F12/VLOOKUP($B12,'Tissue Mass'!$B:$AB,24,FALSE)</f>
        <v>0.12577305312006565</v>
      </c>
      <c r="Z12" s="91">
        <f>VLOOKUP($B12,'Raw Gamma CPM'!$B:$AB,25,FALSE)/EXP(-LN(2)/8.03*$O12)*Standards!$H$23/$F12/VLOOKUP($B12,'Tissue Mass'!$B:$AB,25,FALSE)</f>
        <v>2.3647382899131151E-3</v>
      </c>
      <c r="AA12" s="91">
        <f>VLOOKUP($B12,'Raw Gamma CPM'!$B:$AB,26,FALSE)/EXP(-LN(2)/8.03*$O12)*Standards!$H$23/$F12/VLOOKUP($B12,'Tissue Mass'!$B:$AB,26,FALSE)</f>
        <v>7.5243623510135894E-3</v>
      </c>
      <c r="AB12" s="92">
        <f>VLOOKUP($B12,'Raw Gamma CPM'!$B:$AB,27,FALSE)/EXP(-LN(2)/8.03*$O12)*Standards!$H$23/$F12/VLOOKUP($B12,'Tissue Mass'!$B:$AB,27,FALSE)</f>
        <v>7.7824697777253149E-3</v>
      </c>
    </row>
    <row r="13" spans="2:28" x14ac:dyDescent="0.25">
      <c r="B13" s="21">
        <v>22</v>
      </c>
      <c r="C13" s="12">
        <v>42650</v>
      </c>
      <c r="D13" s="56">
        <v>0.48541666666666666</v>
      </c>
      <c r="E13" s="13">
        <v>48</v>
      </c>
      <c r="F13" s="15">
        <v>10</v>
      </c>
      <c r="G13" s="12">
        <v>42652</v>
      </c>
      <c r="H13" s="14">
        <v>30.8</v>
      </c>
      <c r="I13" s="99" t="s">
        <v>35</v>
      </c>
      <c r="J13" s="15">
        <v>1.9</v>
      </c>
      <c r="K13" s="14">
        <v>1.1000000000000001</v>
      </c>
      <c r="L13" s="58">
        <f t="shared" si="0"/>
        <v>0.57894736842105265</v>
      </c>
      <c r="M13" s="61">
        <v>42659</v>
      </c>
      <c r="N13" s="82">
        <v>0.93465277777777767</v>
      </c>
      <c r="O13" s="127">
        <f t="shared" si="1"/>
        <v>9.4492361111042555</v>
      </c>
      <c r="P13" s="132">
        <f>VLOOKUP($B13,'Raw Gamma CPM'!$B:$AB,15,FALSE)/EXP(-LN(2)/8.03*$O13)*Standards!$H$23/$F13/VLOOKUP($B13,'Tissue Mass'!$B:$AB,15,FALSE)</f>
        <v>9.4655625110341614E-4</v>
      </c>
      <c r="Q13" s="91">
        <f>VLOOKUP($B13,'Raw Gamma CPM'!$B:$AB,16,FALSE)/EXP(-LN(2)/8.03*$O13)*Standards!$H$23/$F13/VLOOKUP($B13,'Tissue Mass'!$B:$AB,16,FALSE)</f>
        <v>5.5098311371124279E-3</v>
      </c>
      <c r="R13" s="91">
        <f>VLOOKUP($B13,'Raw Gamma CPM'!$B:$AB,17,FALSE)/EXP(-LN(2)/8.03*$O13)*Standards!$H$23/$F13/VLOOKUP($B13,'Tissue Mass'!$B:$AB,17,FALSE)</f>
        <v>1.851474637305537E-3</v>
      </c>
      <c r="S13" s="91">
        <f>VLOOKUP($B13,'Raw Gamma CPM'!$B:$AB,18,FALSE)/EXP(-LN(2)/8.03*$O13)*Standards!$H$23/$F13/VLOOKUP($B13,'Tissue Mass'!$B:$AB,18,FALSE)</f>
        <v>9.7260748703262788E-4</v>
      </c>
      <c r="T13" s="91">
        <f>VLOOKUP($B13,'Raw Gamma CPM'!$B:$AB,19,FALSE)/EXP(-LN(2)/8.03*$O13)*Standards!$H$23/$F13/VLOOKUP($B13,'Tissue Mass'!$B:$AB,19,FALSE)</f>
        <v>2.2524383958374152E-3</v>
      </c>
      <c r="U13" s="91">
        <f>VLOOKUP($B13,'Raw Gamma CPM'!$B:$AB,20,FALSE)/EXP(-LN(2)/8.03*$O13)*Standards!$H$23/$F13/VLOOKUP($B13,'Tissue Mass'!$B:$AB,20,FALSE)</f>
        <v>5.3902544474493412E-3</v>
      </c>
      <c r="V13" s="91">
        <f>VLOOKUP($B13,'Raw Gamma CPM'!$B:$AB,21,FALSE)/EXP(-LN(2)/8.03*$O13)*Standards!$H$23/$F13/VLOOKUP($B13,'Tissue Mass'!$B:$AB,21,FALSE)</f>
        <v>0.14804495176630378</v>
      </c>
      <c r="W13" s="138"/>
      <c r="X13" s="91">
        <f>VLOOKUP($B13,'Raw Gamma CPM'!$B:$AB,23,FALSE)/EXP(-LN(2)/8.03*$O13)*Standards!$H$23/$F13/VLOOKUP($B13,'Tissue Mass'!$B:$AB,23,FALSE)</f>
        <v>9.2983394560423635E-2</v>
      </c>
      <c r="Y13" s="91">
        <f>VLOOKUP($B13,'Raw Gamma CPM'!$B:$AB,24,FALSE)/EXP(-LN(2)/8.03*$O13)*Standards!$H$23/$F13/VLOOKUP($B13,'Tissue Mass'!$B:$AB,24,FALSE)</f>
        <v>1.4648953292790447E-2</v>
      </c>
      <c r="Z13" s="91">
        <f>VLOOKUP($B13,'Raw Gamma CPM'!$B:$AB,25,FALSE)/EXP(-LN(2)/8.03*$O13)*Standards!$H$23/$F13/VLOOKUP($B13,'Tissue Mass'!$B:$AB,25,FALSE)</f>
        <v>4.5041770658558493E-3</v>
      </c>
      <c r="AA13" s="91">
        <f>VLOOKUP($B13,'Raw Gamma CPM'!$B:$AB,26,FALSE)/EXP(-LN(2)/8.03*$O13)*Standards!$H$23/$F13/VLOOKUP($B13,'Tissue Mass'!$B:$AB,26,FALSE)</f>
        <v>3.0318312818088475E-3</v>
      </c>
      <c r="AB13" s="92">
        <f>VLOOKUP($B13,'Raw Gamma CPM'!$B:$AB,27,FALSE)/EXP(-LN(2)/8.03*$O13)*Standards!$H$23/$F13/VLOOKUP($B13,'Tissue Mass'!$B:$AB,27,FALSE)</f>
        <v>1.9681202099404841E-3</v>
      </c>
    </row>
    <row r="14" spans="2:28" x14ac:dyDescent="0.25">
      <c r="B14" s="21">
        <v>24</v>
      </c>
      <c r="C14" s="12">
        <v>42650</v>
      </c>
      <c r="D14" s="56">
        <v>0.50972222222222219</v>
      </c>
      <c r="E14" s="13">
        <v>48</v>
      </c>
      <c r="F14" s="15">
        <v>69</v>
      </c>
      <c r="G14" s="12">
        <v>42652</v>
      </c>
      <c r="H14" s="14">
        <v>27.8</v>
      </c>
      <c r="I14" s="99" t="s">
        <v>35</v>
      </c>
      <c r="J14" s="15">
        <v>46.7</v>
      </c>
      <c r="K14" s="14">
        <v>45</v>
      </c>
      <c r="L14" s="58">
        <f t="shared" si="0"/>
        <v>0.9635974304068522</v>
      </c>
      <c r="M14" s="61">
        <v>42659</v>
      </c>
      <c r="N14" s="82">
        <v>0.93881944444444443</v>
      </c>
      <c r="O14" s="127">
        <f t="shared" si="1"/>
        <v>9.4290972222224809</v>
      </c>
      <c r="P14" s="132">
        <f>VLOOKUP($B14,'Raw Gamma CPM'!$B:$AB,15,FALSE)/EXP(-LN(2)/8.03*$O14)*Standards!$H$23/$F14/VLOOKUP($B14,'Tissue Mass'!$B:$AB,15,FALSE)</f>
        <v>6.0234760117713253E-4</v>
      </c>
      <c r="Q14" s="91">
        <f>VLOOKUP($B14,'Raw Gamma CPM'!$B:$AB,16,FALSE)/EXP(-LN(2)/8.03*$O14)*Standards!$H$23/$F14/VLOOKUP($B14,'Tissue Mass'!$B:$AB,16,FALSE)</f>
        <v>4.1546368529196676E-4</v>
      </c>
      <c r="R14" s="91">
        <f>VLOOKUP($B14,'Raw Gamma CPM'!$B:$AB,17,FALSE)/EXP(-LN(2)/8.03*$O14)*Standards!$H$23/$F14/VLOOKUP($B14,'Tissue Mass'!$B:$AB,17,FALSE)</f>
        <v>1.8221182487358642E-4</v>
      </c>
      <c r="S14" s="91">
        <f>VLOOKUP($B14,'Raw Gamma CPM'!$B:$AB,18,FALSE)/EXP(-LN(2)/8.03*$O14)*Standards!$H$23/$F14/VLOOKUP($B14,'Tissue Mass'!$B:$AB,18,FALSE)</f>
        <v>3.9989158823372175E-4</v>
      </c>
      <c r="T14" s="91">
        <f>VLOOKUP($B14,'Raw Gamma CPM'!$B:$AB,19,FALSE)/EXP(-LN(2)/8.03*$O14)*Standards!$H$23/$F14/VLOOKUP($B14,'Tissue Mass'!$B:$AB,19,FALSE)</f>
        <v>6.5160553048783441E-4</v>
      </c>
      <c r="U14" s="91">
        <f>VLOOKUP($B14,'Raw Gamma CPM'!$B:$AB,20,FALSE)/EXP(-LN(2)/8.03*$O14)*Standards!$H$23/$F14/VLOOKUP($B14,'Tissue Mass'!$B:$AB,20,FALSE)</f>
        <v>6.1911611127844269E-4</v>
      </c>
      <c r="V14" s="91">
        <f>VLOOKUP($B14,'Raw Gamma CPM'!$B:$AB,21,FALSE)/EXP(-LN(2)/8.03*$O14)*Standards!$H$23/$F14/VLOOKUP($B14,'Tissue Mass'!$B:$AB,21,FALSE)</f>
        <v>1.9583679195809204E-3</v>
      </c>
      <c r="W14" s="138"/>
      <c r="X14" s="91">
        <f>VLOOKUP($B14,'Raw Gamma CPM'!$B:$AB,23,FALSE)/EXP(-LN(2)/8.03*$O14)*Standards!$H$23/$F14/VLOOKUP($B14,'Tissue Mass'!$B:$AB,23,FALSE)</f>
        <v>8.3080285385094335E-2</v>
      </c>
      <c r="Y14" s="91">
        <f>VLOOKUP($B14,'Raw Gamma CPM'!$B:$AB,24,FALSE)/EXP(-LN(2)/8.03*$O14)*Standards!$H$23/$F14/VLOOKUP($B14,'Tissue Mass'!$B:$AB,24,FALSE)</f>
        <v>5.7667496244275364E-3</v>
      </c>
      <c r="Z14" s="91">
        <f>VLOOKUP($B14,'Raw Gamma CPM'!$B:$AB,25,FALSE)/EXP(-LN(2)/8.03*$O14)*Standards!$H$23/$F14/VLOOKUP($B14,'Tissue Mass'!$B:$AB,25,FALSE)</f>
        <v>4.1885770280830322E-3</v>
      </c>
      <c r="AA14" s="91">
        <f>VLOOKUP($B14,'Raw Gamma CPM'!$B:$AB,26,FALSE)/EXP(-LN(2)/8.03*$O14)*Standards!$H$23/$F14/VLOOKUP($B14,'Tissue Mass'!$B:$AB,26,FALSE)</f>
        <v>5.1338321546278082E-4</v>
      </c>
      <c r="AB14" s="92">
        <f>VLOOKUP($B14,'Raw Gamma CPM'!$B:$AB,27,FALSE)/EXP(-LN(2)/8.03*$O14)*Standards!$H$23/$F14/VLOOKUP($B14,'Tissue Mass'!$B:$AB,27,FALSE)</f>
        <v>8.2715205219205509E-4</v>
      </c>
    </row>
    <row r="15" spans="2:28" x14ac:dyDescent="0.25">
      <c r="B15" s="21">
        <v>25</v>
      </c>
      <c r="C15" s="12">
        <v>42650</v>
      </c>
      <c r="D15" s="56">
        <v>0.52013888888888882</v>
      </c>
      <c r="E15" s="13">
        <v>48</v>
      </c>
      <c r="F15" s="17">
        <v>1.1000000000000001</v>
      </c>
      <c r="G15" s="12">
        <v>42652</v>
      </c>
      <c r="H15" s="14">
        <v>29.1</v>
      </c>
      <c r="I15" s="99" t="s">
        <v>35</v>
      </c>
      <c r="J15" s="17">
        <v>0.22</v>
      </c>
      <c r="K15" s="14">
        <v>0.19</v>
      </c>
      <c r="L15" s="58">
        <f t="shared" si="0"/>
        <v>0.86363636363636365</v>
      </c>
      <c r="M15" s="61">
        <v>42659</v>
      </c>
      <c r="N15" s="82">
        <v>0.94298611111111119</v>
      </c>
      <c r="O15" s="127">
        <f t="shared" si="1"/>
        <v>9.4228472222239361</v>
      </c>
      <c r="P15" s="132">
        <f>VLOOKUP($B15,'Raw Gamma CPM'!$B:$AB,15,FALSE)/EXP(-LN(2)/8.03*$O15)*Standards!$H$23/$F15/VLOOKUP($B15,'Tissue Mass'!$B:$AB,15,FALSE)</f>
        <v>1.1769055631686317E-3</v>
      </c>
      <c r="Q15" s="91">
        <f>VLOOKUP($B15,'Raw Gamma CPM'!$B:$AB,16,FALSE)/EXP(-LN(2)/8.03*$O15)*Standards!$H$23/$F15/VLOOKUP($B15,'Tissue Mass'!$B:$AB,16,FALSE)</f>
        <v>4.7549720797429081E-3</v>
      </c>
      <c r="R15" s="91">
        <f>VLOOKUP($B15,'Raw Gamma CPM'!$B:$AB,17,FALSE)/EXP(-LN(2)/8.03*$O15)*Standards!$H$23/$F15/VLOOKUP($B15,'Tissue Mass'!$B:$AB,17,FALSE)</f>
        <v>0.12769825668394338</v>
      </c>
      <c r="S15" s="91">
        <f>VLOOKUP($B15,'Raw Gamma CPM'!$B:$AB,18,FALSE)/EXP(-LN(2)/8.03*$O15)*Standards!$H$23/$F15/VLOOKUP($B15,'Tissue Mass'!$B:$AB,18,FALSE)</f>
        <v>2.0185486762820649E-3</v>
      </c>
      <c r="T15" s="91">
        <f>VLOOKUP($B15,'Raw Gamma CPM'!$B:$AB,19,FALSE)/EXP(-LN(2)/8.03*$O15)*Standards!$H$23/$F15/VLOOKUP($B15,'Tissue Mass'!$B:$AB,19,FALSE)</f>
        <v>6.5378607077317911E-3</v>
      </c>
      <c r="U15" s="91">
        <f>VLOOKUP($B15,'Raw Gamma CPM'!$B:$AB,20,FALSE)/EXP(-LN(2)/8.03*$O15)*Standards!$H$23/$F15/VLOOKUP($B15,'Tissue Mass'!$B:$AB,20,FALSE)</f>
        <v>3.3646161651102735E-3</v>
      </c>
      <c r="V15" s="91">
        <f>VLOOKUP($B15,'Raw Gamma CPM'!$B:$AB,21,FALSE)/EXP(-LN(2)/8.03*$O15)*Standards!$H$23/$F15/VLOOKUP($B15,'Tissue Mass'!$B:$AB,21,FALSE)</f>
        <v>1.3044714283565254E-2</v>
      </c>
      <c r="W15" s="138"/>
      <c r="X15" s="91">
        <f>VLOOKUP($B15,'Raw Gamma CPM'!$B:$AB,23,FALSE)/EXP(-LN(2)/8.03*$O15)*Standards!$H$23/$F15/VLOOKUP($B15,'Tissue Mass'!$B:$AB,23,FALSE)</f>
        <v>2.8889796654265845E-2</v>
      </c>
      <c r="Y15" s="91">
        <f>VLOOKUP($B15,'Raw Gamma CPM'!$B:$AB,24,FALSE)/EXP(-LN(2)/8.03*$O15)*Standards!$H$23/$F15/VLOOKUP($B15,'Tissue Mass'!$B:$AB,24,FALSE)</f>
        <v>2.5725751862653416E-2</v>
      </c>
      <c r="Z15" s="91">
        <f>VLOOKUP($B15,'Raw Gamma CPM'!$B:$AB,25,FALSE)/EXP(-LN(2)/8.03*$O15)*Standards!$H$23/$F15/VLOOKUP($B15,'Tissue Mass'!$B:$AB,25,FALSE)</f>
        <v>3.9635794482724496E-3</v>
      </c>
      <c r="AA15" s="91">
        <f>VLOOKUP($B15,'Raw Gamma CPM'!$B:$AB,26,FALSE)/EXP(-LN(2)/8.03*$O15)*Standards!$H$23/$F15/VLOOKUP($B15,'Tissue Mass'!$B:$AB,26,FALSE)</f>
        <v>2.4672753866584241E-3</v>
      </c>
      <c r="AB15" s="92">
        <f>VLOOKUP($B15,'Raw Gamma CPM'!$B:$AB,27,FALSE)/EXP(-LN(2)/8.03*$O15)*Standards!$H$23/$F15/VLOOKUP($B15,'Tissue Mass'!$B:$AB,27,FALSE)</f>
        <v>3.5328136727479807E-3</v>
      </c>
    </row>
    <row r="16" spans="2:28" x14ac:dyDescent="0.25">
      <c r="B16" s="21">
        <v>31</v>
      </c>
      <c r="C16" s="12">
        <v>42650</v>
      </c>
      <c r="D16" s="56">
        <v>0.52986111111111112</v>
      </c>
      <c r="E16" s="13">
        <v>48</v>
      </c>
      <c r="F16" s="15">
        <v>115.8</v>
      </c>
      <c r="G16" s="12">
        <v>42652</v>
      </c>
      <c r="H16" s="14">
        <v>27.5</v>
      </c>
      <c r="I16" s="99" t="s">
        <v>35</v>
      </c>
      <c r="J16" s="15">
        <v>90</v>
      </c>
      <c r="K16" s="14">
        <v>89</v>
      </c>
      <c r="L16" s="58">
        <f t="shared" si="0"/>
        <v>0.98888888888888893</v>
      </c>
      <c r="M16" s="61">
        <v>42659</v>
      </c>
      <c r="N16" s="82">
        <v>0.94715277777777773</v>
      </c>
      <c r="O16" s="127">
        <f t="shared" si="1"/>
        <v>9.4172916666648234</v>
      </c>
      <c r="P16" s="132">
        <f>VLOOKUP($B16,'Raw Gamma CPM'!$B:$AB,15,FALSE)/EXP(-LN(2)/8.03*$O16)*Standards!$H$23/$F16/VLOOKUP($B16,'Tissue Mass'!$B:$AB,15,FALSE)</f>
        <v>3.7111255720939271E-4</v>
      </c>
      <c r="Q16" s="91">
        <f>VLOOKUP($B16,'Raw Gamma CPM'!$B:$AB,16,FALSE)/EXP(-LN(2)/8.03*$O16)*Standards!$H$23/$F16/VLOOKUP($B16,'Tissue Mass'!$B:$AB,16,FALSE)</f>
        <v>2.7009366697217261E-3</v>
      </c>
      <c r="R16" s="91">
        <f>VLOOKUP($B16,'Raw Gamma CPM'!$B:$AB,17,FALSE)/EXP(-LN(2)/8.03*$O16)*Standards!$H$23/$F16/VLOOKUP($B16,'Tissue Mass'!$B:$AB,17,FALSE)</f>
        <v>1.7828869874509281E-3</v>
      </c>
      <c r="S16" s="91">
        <f>VLOOKUP($B16,'Raw Gamma CPM'!$B:$AB,18,FALSE)/EXP(-LN(2)/8.03*$O16)*Standards!$H$23/$F16/VLOOKUP($B16,'Tissue Mass'!$B:$AB,18,FALSE)</f>
        <v>3.2493442500273903E-4</v>
      </c>
      <c r="T16" s="91">
        <f>VLOOKUP($B16,'Raw Gamma CPM'!$B:$AB,19,FALSE)/EXP(-LN(2)/8.03*$O16)*Standards!$H$23/$F16/VLOOKUP($B16,'Tissue Mass'!$B:$AB,19,FALSE)</f>
        <v>5.805111324503593E-4</v>
      </c>
      <c r="U16" s="91">
        <f>VLOOKUP($B16,'Raw Gamma CPM'!$B:$AB,20,FALSE)/EXP(-LN(2)/8.03*$O16)*Standards!$H$23/$F16/VLOOKUP($B16,'Tissue Mass'!$B:$AB,20,FALSE)</f>
        <v>1.2767527706036156E-3</v>
      </c>
      <c r="V16" s="91">
        <f>VLOOKUP($B16,'Raw Gamma CPM'!$B:$AB,21,FALSE)/EXP(-LN(2)/8.03*$O16)*Standards!$H$23/$F16/VLOOKUP($B16,'Tissue Mass'!$B:$AB,21,FALSE)</f>
        <v>3.120740097772504E-3</v>
      </c>
      <c r="W16" s="138"/>
      <c r="X16" s="91">
        <f>VLOOKUP($B16,'Raw Gamma CPM'!$B:$AB,23,FALSE)/EXP(-LN(2)/8.03*$O16)*Standards!$H$23/$F16/VLOOKUP($B16,'Tissue Mass'!$B:$AB,23,FALSE)</f>
        <v>3.3742650556205919E-3</v>
      </c>
      <c r="Y16" s="91">
        <f>VLOOKUP($B16,'Raw Gamma CPM'!$B:$AB,24,FALSE)/EXP(-LN(2)/8.03*$O16)*Standards!$H$23/$F16/VLOOKUP($B16,'Tissue Mass'!$B:$AB,24,FALSE)</f>
        <v>2.9522983851476298E-3</v>
      </c>
      <c r="Z16" s="91">
        <f>VLOOKUP($B16,'Raw Gamma CPM'!$B:$AB,25,FALSE)/EXP(-LN(2)/8.03*$O16)*Standards!$H$23/$F16/VLOOKUP($B16,'Tissue Mass'!$B:$AB,25,FALSE)</f>
        <v>1.3087846147203485E-3</v>
      </c>
      <c r="AA16" s="91">
        <f>VLOOKUP($B16,'Raw Gamma CPM'!$B:$AB,26,FALSE)/EXP(-LN(2)/8.03*$O16)*Standards!$H$23/$F16/VLOOKUP($B16,'Tissue Mass'!$B:$AB,26,FALSE)</f>
        <v>1.5358951991280886E-3</v>
      </c>
      <c r="AB16" s="92">
        <f>VLOOKUP($B16,'Raw Gamma CPM'!$B:$AB,27,FALSE)/EXP(-LN(2)/8.03*$O16)*Standards!$H$23/$F16/VLOOKUP($B16,'Tissue Mass'!$B:$AB,27,FALSE)</f>
        <v>1.3015047239599822E-3</v>
      </c>
    </row>
    <row r="17" spans="2:29" x14ac:dyDescent="0.25">
      <c r="B17" s="21">
        <v>23</v>
      </c>
      <c r="C17" s="12">
        <v>42650</v>
      </c>
      <c r="D17" s="56">
        <v>0.49652777777777773</v>
      </c>
      <c r="E17" s="13">
        <v>72</v>
      </c>
      <c r="F17" s="15">
        <v>16.2</v>
      </c>
      <c r="G17" s="12">
        <v>42653</v>
      </c>
      <c r="H17" s="14">
        <v>28.2</v>
      </c>
      <c r="I17" s="99" t="s">
        <v>36</v>
      </c>
      <c r="J17" s="15">
        <v>2.2200000000000002</v>
      </c>
      <c r="K17" s="14">
        <v>0.33</v>
      </c>
      <c r="L17" s="58">
        <f t="shared" si="0"/>
        <v>0.14864864864864863</v>
      </c>
      <c r="M17" s="61">
        <v>42659</v>
      </c>
      <c r="N17" s="82">
        <v>0.97086805555555555</v>
      </c>
      <c r="O17" s="127">
        <f t="shared" si="1"/>
        <v>9.4743402777748997</v>
      </c>
      <c r="P17" s="132">
        <f>VLOOKUP($B17,'Raw Gamma CPM'!$B:$AB,15,FALSE)/EXP(-LN(2)/8.03*$O17)*Standards!$H$23/$F17/VLOOKUP($B17,'Tissue Mass'!$B:$AB,15,FALSE)</f>
        <v>2.1954651297914771E-2</v>
      </c>
      <c r="Q17" s="91">
        <f>VLOOKUP($B17,'Raw Gamma CPM'!$B:$AB,16,FALSE)/EXP(-LN(2)/8.03*$O17)*Standards!$H$23/$F17/VLOOKUP($B17,'Tissue Mass'!$B:$AB,16,FALSE)</f>
        <v>3.3281310416252312E-4</v>
      </c>
      <c r="R17" s="91">
        <f>VLOOKUP($B17,'Raw Gamma CPM'!$B:$AB,17,FALSE)/EXP(-LN(2)/8.03*$O17)*Standards!$H$23/$F17/VLOOKUP($B17,'Tissue Mass'!$B:$AB,17,FALSE)</f>
        <v>1.3973223079083803E-3</v>
      </c>
      <c r="S17" s="91">
        <f>VLOOKUP($B17,'Raw Gamma CPM'!$B:$AB,18,FALSE)/EXP(-LN(2)/8.03*$O17)*Standards!$H$23/$F17/VLOOKUP($B17,'Tissue Mass'!$B:$AB,18,FALSE)</f>
        <v>1.4873758660878416E-3</v>
      </c>
      <c r="T17" s="91">
        <f>VLOOKUP($B17,'Raw Gamma CPM'!$B:$AB,19,FALSE)/EXP(-LN(2)/8.03*$O17)*Standards!$H$23/$F17/VLOOKUP($B17,'Tissue Mass'!$B:$AB,19,FALSE)</f>
        <v>4.3411610239845924E-2</v>
      </c>
      <c r="U17" s="91">
        <f>VLOOKUP($B17,'Raw Gamma CPM'!$B:$AB,20,FALSE)/EXP(-LN(2)/8.03*$O17)*Standards!$H$23/$F17/VLOOKUP($B17,'Tissue Mass'!$B:$AB,20,FALSE)</f>
        <v>7.033265279147204E-4</v>
      </c>
      <c r="V17" s="91">
        <f>VLOOKUP($B17,'Raw Gamma CPM'!$B:$AB,21,FALSE)/EXP(-LN(2)/8.03*$O17)*Standards!$H$23/$F17/VLOOKUP($B17,'Tissue Mass'!$B:$AB,21,FALSE)</f>
        <v>0.43049458280918834</v>
      </c>
      <c r="W17" s="138"/>
      <c r="X17" s="91">
        <f>VLOOKUP($B17,'Raw Gamma CPM'!$B:$AB,23,FALSE)/EXP(-LN(2)/8.03*$O17)*Standards!$H$23/$F17/VLOOKUP($B17,'Tissue Mass'!$B:$AB,23,FALSE)</f>
        <v>6.8671898886456029E-2</v>
      </c>
      <c r="Y17" s="91">
        <f>VLOOKUP($B17,'Raw Gamma CPM'!$B:$AB,24,FALSE)/EXP(-LN(2)/8.03*$O17)*Standards!$H$23/$F17/VLOOKUP($B17,'Tissue Mass'!$B:$AB,24,FALSE)</f>
        <v>1.6847798787254524E-3</v>
      </c>
      <c r="Z17" s="91">
        <f>VLOOKUP($B17,'Raw Gamma CPM'!$B:$AB,25,FALSE)/EXP(-LN(2)/8.03*$O17)*Standards!$H$23/$F17/VLOOKUP($B17,'Tissue Mass'!$B:$AB,25,FALSE)</f>
        <v>1.2183182655732586E-3</v>
      </c>
      <c r="AA17" s="91">
        <f>VLOOKUP($B17,'Raw Gamma CPM'!$B:$AB,26,FALSE)/EXP(-LN(2)/8.03*$O17)*Standards!$H$23/$F17/VLOOKUP($B17,'Tissue Mass'!$B:$AB,26,FALSE)</f>
        <v>3.8104345743168386E-3</v>
      </c>
      <c r="AB17" s="92">
        <f>VLOOKUP($B17,'Raw Gamma CPM'!$B:$AB,27,FALSE)/EXP(-LN(2)/8.03*$O17)*Standards!$H$23/$F17/VLOOKUP($B17,'Tissue Mass'!$B:$AB,27,FALSE)</f>
        <v>4.788479442622652E-6</v>
      </c>
    </row>
    <row r="18" spans="2:29" x14ac:dyDescent="0.25">
      <c r="B18" s="21">
        <v>44</v>
      </c>
      <c r="C18" s="12">
        <v>42650</v>
      </c>
      <c r="D18" s="56">
        <v>0.63750000000000007</v>
      </c>
      <c r="E18" s="13">
        <v>72</v>
      </c>
      <c r="F18" s="15">
        <v>335</v>
      </c>
      <c r="G18" s="12">
        <v>42653</v>
      </c>
      <c r="H18" s="14">
        <v>32.9</v>
      </c>
      <c r="I18" s="99" t="s">
        <v>35</v>
      </c>
      <c r="J18" s="15">
        <v>207</v>
      </c>
      <c r="K18" s="14">
        <v>177</v>
      </c>
      <c r="L18" s="58">
        <f t="shared" si="0"/>
        <v>0.85507246376811596</v>
      </c>
      <c r="M18" s="61">
        <v>42659</v>
      </c>
      <c r="N18" s="82">
        <v>0.97503472222222232</v>
      </c>
      <c r="O18" s="127">
        <f t="shared" si="1"/>
        <v>9.3375347222245182</v>
      </c>
      <c r="P18" s="132">
        <f>VLOOKUP($B18,'Raw Gamma CPM'!$B:$AB,15,FALSE)/EXP(-LN(2)/8.03*$O18)*Standards!$H$23/$F18/VLOOKUP($B18,'Tissue Mass'!$B:$AB,15,FALSE)</f>
        <v>2.0095772252503051E-4</v>
      </c>
      <c r="Q18" s="91">
        <f>VLOOKUP($B18,'Raw Gamma CPM'!$B:$AB,16,FALSE)/EXP(-LN(2)/8.03*$O18)*Standards!$H$23/$F18/VLOOKUP($B18,'Tissue Mass'!$B:$AB,16,FALSE)</f>
        <v>3.8986643612251348E-4</v>
      </c>
      <c r="R18" s="91">
        <f>VLOOKUP($B18,'Raw Gamma CPM'!$B:$AB,17,FALSE)/EXP(-LN(2)/8.03*$O18)*Standards!$H$23/$F18/VLOOKUP($B18,'Tissue Mass'!$B:$AB,17,FALSE)</f>
        <v>1.0735014308807185E-4</v>
      </c>
      <c r="S18" s="91">
        <f>VLOOKUP($B18,'Raw Gamma CPM'!$B:$AB,18,FALSE)/EXP(-LN(2)/8.03*$O18)*Standards!$H$23/$F18/VLOOKUP($B18,'Tissue Mass'!$B:$AB,18,FALSE)</f>
        <v>1.9293434270196302E-4</v>
      </c>
      <c r="T18" s="91">
        <f>VLOOKUP($B18,'Raw Gamma CPM'!$B:$AB,19,FALSE)/EXP(-LN(2)/8.03*$O18)*Standards!$H$23/$F18/VLOOKUP($B18,'Tissue Mass'!$B:$AB,19,FALSE)</f>
        <v>3.1576160437303194E-4</v>
      </c>
      <c r="U18" s="91">
        <f>VLOOKUP($B18,'Raw Gamma CPM'!$B:$AB,20,FALSE)/EXP(-LN(2)/8.03*$O18)*Standards!$H$23/$F18/VLOOKUP($B18,'Tissue Mass'!$B:$AB,20,FALSE)</f>
        <v>8.5747445642900689E-4</v>
      </c>
      <c r="V18" s="91">
        <f>VLOOKUP($B18,'Raw Gamma CPM'!$B:$AB,21,FALSE)/EXP(-LN(2)/8.03*$O18)*Standards!$H$23/$F18/VLOOKUP($B18,'Tissue Mass'!$B:$AB,21,FALSE)</f>
        <v>0.19223585430758755</v>
      </c>
      <c r="W18" s="138"/>
      <c r="X18" s="91">
        <f>VLOOKUP($B18,'Raw Gamma CPM'!$B:$AB,23,FALSE)/EXP(-LN(2)/8.03*$O18)*Standards!$H$23/$F18/VLOOKUP($B18,'Tissue Mass'!$B:$AB,23,FALSE)</f>
        <v>0.13511229913225453</v>
      </c>
      <c r="Y18" s="91">
        <f>VLOOKUP($B18,'Raw Gamma CPM'!$B:$AB,24,FALSE)/EXP(-LN(2)/8.03*$O18)*Standards!$H$23/$F18/VLOOKUP($B18,'Tissue Mass'!$B:$AB,24,FALSE)</f>
        <v>2.2214625204468454E-2</v>
      </c>
      <c r="Z18" s="91">
        <f>VLOOKUP($B18,'Raw Gamma CPM'!$B:$AB,25,FALSE)/EXP(-LN(2)/8.03*$O18)*Standards!$H$23/$F18/VLOOKUP($B18,'Tissue Mass'!$B:$AB,25,FALSE)</f>
        <v>2.9426021572923513E-3</v>
      </c>
      <c r="AA18" s="91">
        <f>VLOOKUP($B18,'Raw Gamma CPM'!$B:$AB,26,FALSE)/EXP(-LN(2)/8.03*$O18)*Standards!$H$23/$F18/VLOOKUP($B18,'Tissue Mass'!$B:$AB,26,FALSE)</f>
        <v>6.1116532892389463E-4</v>
      </c>
      <c r="AB18" s="92">
        <f>VLOOKUP($B18,'Raw Gamma CPM'!$B:$AB,27,FALSE)/EXP(-LN(2)/8.03*$O18)*Standards!$H$23/$F18/VLOOKUP($B18,'Tissue Mass'!$B:$AB,27,FALSE)</f>
        <v>3.7798698784100645E-4</v>
      </c>
    </row>
    <row r="19" spans="2:29" x14ac:dyDescent="0.25">
      <c r="B19" s="21">
        <v>45</v>
      </c>
      <c r="C19" s="12">
        <v>42650</v>
      </c>
      <c r="D19" s="56">
        <v>0.64444444444444449</v>
      </c>
      <c r="E19" s="13">
        <v>72</v>
      </c>
      <c r="F19" s="15">
        <v>298</v>
      </c>
      <c r="G19" s="12">
        <v>42653</v>
      </c>
      <c r="H19" s="14">
        <v>30.7</v>
      </c>
      <c r="I19" s="99" t="s">
        <v>35</v>
      </c>
      <c r="J19" s="15">
        <v>200</v>
      </c>
      <c r="K19" s="14">
        <v>197</v>
      </c>
      <c r="L19" s="58">
        <f t="shared" si="0"/>
        <v>0.98499999999999999</v>
      </c>
      <c r="M19" s="61">
        <v>42659</v>
      </c>
      <c r="N19" s="82">
        <v>0.97920138888888886</v>
      </c>
      <c r="O19" s="127">
        <f t="shared" si="1"/>
        <v>9.3347569444449618</v>
      </c>
      <c r="P19" s="132">
        <f>VLOOKUP($B19,'Raw Gamma CPM'!$B:$AB,15,FALSE)/EXP(-LN(2)/8.03*$O19)*Standards!$H$23/$F19/VLOOKUP($B19,'Tissue Mass'!$B:$AB,15,FALSE)</f>
        <v>1.2219118127741963E-4</v>
      </c>
      <c r="Q19" s="91">
        <f>VLOOKUP($B19,'Raw Gamma CPM'!$B:$AB,16,FALSE)/EXP(-LN(2)/8.03*$O19)*Standards!$H$23/$F19/VLOOKUP($B19,'Tissue Mass'!$B:$AB,16,FALSE)</f>
        <v>2.9908891999531401E-4</v>
      </c>
      <c r="R19" s="91">
        <f>VLOOKUP($B19,'Raw Gamma CPM'!$B:$AB,17,FALSE)/EXP(-LN(2)/8.03*$O19)*Standards!$H$23/$F19/VLOOKUP($B19,'Tissue Mass'!$B:$AB,17,FALSE)</f>
        <v>7.070187251054557E-5</v>
      </c>
      <c r="S19" s="91">
        <f>VLOOKUP($B19,'Raw Gamma CPM'!$B:$AB,18,FALSE)/EXP(-LN(2)/8.03*$O19)*Standards!$H$23/$F19/VLOOKUP($B19,'Tissue Mass'!$B:$AB,18,FALSE)</f>
        <v>1.225635888949324E-4</v>
      </c>
      <c r="T19" s="91">
        <f>VLOOKUP($B19,'Raw Gamma CPM'!$B:$AB,19,FALSE)/EXP(-LN(2)/8.03*$O19)*Standards!$H$23/$F19/VLOOKUP($B19,'Tissue Mass'!$B:$AB,19,FALSE)</f>
        <v>2.0727600619017719E-4</v>
      </c>
      <c r="U19" s="91">
        <f>VLOOKUP($B19,'Raw Gamma CPM'!$B:$AB,20,FALSE)/EXP(-LN(2)/8.03*$O19)*Standards!$H$23/$F19/VLOOKUP($B19,'Tissue Mass'!$B:$AB,20,FALSE)</f>
        <v>6.0074384463713545E-4</v>
      </c>
      <c r="V19" s="91">
        <f>VLOOKUP($B19,'Raw Gamma CPM'!$B:$AB,21,FALSE)/EXP(-LN(2)/8.03*$O19)*Standards!$H$23/$F19/VLOOKUP($B19,'Tissue Mass'!$B:$AB,21,FALSE)</f>
        <v>1.1788072332672085E-3</v>
      </c>
      <c r="W19" s="138"/>
      <c r="X19" s="91">
        <f>VLOOKUP($B19,'Raw Gamma CPM'!$B:$AB,23,FALSE)/EXP(-LN(2)/8.03*$O19)*Standards!$H$23/$F19/VLOOKUP($B19,'Tissue Mass'!$B:$AB,23,FALSE)</f>
        <v>1.0853843498277423E-2</v>
      </c>
      <c r="Y19" s="91">
        <f>VLOOKUP($B19,'Raw Gamma CPM'!$B:$AB,24,FALSE)/EXP(-LN(2)/8.03*$O19)*Standards!$H$23/$F19/VLOOKUP($B19,'Tissue Mass'!$B:$AB,24,FALSE)</f>
        <v>6.6714831545905129E-3</v>
      </c>
      <c r="Z19" s="91">
        <f>VLOOKUP($B19,'Raw Gamma CPM'!$B:$AB,25,FALSE)/EXP(-LN(2)/8.03*$O19)*Standards!$H$23/$F19/VLOOKUP($B19,'Tissue Mass'!$B:$AB,25,FALSE)</f>
        <v>1.1337156860886141E-3</v>
      </c>
      <c r="AA19" s="91">
        <f>VLOOKUP($B19,'Raw Gamma CPM'!$B:$AB,26,FALSE)/EXP(-LN(2)/8.03*$O19)*Standards!$H$23/$F19/VLOOKUP($B19,'Tissue Mass'!$B:$AB,26,FALSE)</f>
        <v>1.8684794053105505E-4</v>
      </c>
      <c r="AB19" s="92">
        <f>VLOOKUP($B19,'Raw Gamma CPM'!$B:$AB,27,FALSE)/EXP(-LN(2)/8.03*$O19)*Standards!$H$23/$F19/VLOOKUP($B19,'Tissue Mass'!$B:$AB,27,FALSE)</f>
        <v>2.4472562410484707E-4</v>
      </c>
    </row>
    <row r="20" spans="2:29" x14ac:dyDescent="0.25">
      <c r="B20" s="21">
        <v>33</v>
      </c>
      <c r="C20" s="12">
        <v>42650</v>
      </c>
      <c r="D20" s="56">
        <v>0.55208333333333337</v>
      </c>
      <c r="E20" s="13">
        <v>216</v>
      </c>
      <c r="F20" s="15">
        <v>229</v>
      </c>
      <c r="G20" s="12">
        <v>42659</v>
      </c>
      <c r="H20" s="18">
        <v>28.7</v>
      </c>
      <c r="I20" s="99" t="s">
        <v>35</v>
      </c>
      <c r="J20" s="15">
        <v>84</v>
      </c>
      <c r="K20" s="14">
        <v>90</v>
      </c>
      <c r="L20" s="58">
        <f t="shared" si="0"/>
        <v>1.0714285714285714</v>
      </c>
      <c r="M20" s="61">
        <v>42660</v>
      </c>
      <c r="N20" s="82">
        <v>3.6574074074074074E-3</v>
      </c>
      <c r="O20" s="127">
        <f t="shared" si="1"/>
        <v>9.4515740740680485</v>
      </c>
      <c r="P20" s="132">
        <f>VLOOKUP($B20,'Raw Gamma CPM'!$B:$AB,15,FALSE)/EXP(-LN(2)/8.03*$O20)*Standards!$H$23/$F20/VLOOKUP($B20,'Tissue Mass'!$B:$AB,15,FALSE)</f>
        <v>2.3664959536102688E-4</v>
      </c>
      <c r="Q20" s="91">
        <f>VLOOKUP($B20,'Raw Gamma CPM'!$B:$AB,16,FALSE)/EXP(-LN(2)/8.03*$O20)*Standards!$H$23/$F20/VLOOKUP($B20,'Tissue Mass'!$B:$AB,16,FALSE)</f>
        <v>5.021474723389545E-3</v>
      </c>
      <c r="R20" s="91">
        <f>VLOOKUP($B20,'Raw Gamma CPM'!$B:$AB,17,FALSE)/EXP(-LN(2)/8.03*$O20)*Standards!$H$23/$F20/VLOOKUP($B20,'Tissue Mass'!$B:$AB,17,FALSE)</f>
        <v>1.1751646720762433E-2</v>
      </c>
      <c r="S20" s="91">
        <f>VLOOKUP($B20,'Raw Gamma CPM'!$B:$AB,18,FALSE)/EXP(-LN(2)/8.03*$O20)*Standards!$H$23/$F20/VLOOKUP($B20,'Tissue Mass'!$B:$AB,18,FALSE)</f>
        <v>1.1447216098791114E-3</v>
      </c>
      <c r="T20" s="91">
        <f>VLOOKUP($B20,'Raw Gamma CPM'!$B:$AB,19,FALSE)/EXP(-LN(2)/8.03*$O20)*Standards!$H$23/$F20/VLOOKUP($B20,'Tissue Mass'!$B:$AB,19,FALSE)</f>
        <v>2.1851012259769924E-3</v>
      </c>
      <c r="U20" s="91">
        <f>VLOOKUP($B20,'Raw Gamma CPM'!$B:$AB,20,FALSE)/EXP(-LN(2)/8.03*$O20)*Standards!$H$23/$F20/VLOOKUP($B20,'Tissue Mass'!$B:$AB,20,FALSE)</f>
        <v>9.1121340973780013E-4</v>
      </c>
      <c r="V20" s="91">
        <f>VLOOKUP($B20,'Raw Gamma CPM'!$B:$AB,21,FALSE)/EXP(-LN(2)/8.03*$O20)*Standards!$H$23/$F20/VLOOKUP($B20,'Tissue Mass'!$B:$AB,21,FALSE)</f>
        <v>9.8914917234418226E-4</v>
      </c>
      <c r="W20" s="138"/>
      <c r="X20" s="91">
        <f>VLOOKUP($B20,'Raw Gamma CPM'!$B:$AB,23,FALSE)/EXP(-LN(2)/8.03*$O20)*Standards!$H$23/$F20/VLOOKUP($B20,'Tissue Mass'!$B:$AB,23,FALSE)</f>
        <v>3.1957013743624568E-3</v>
      </c>
      <c r="Y20" s="91">
        <f>VLOOKUP($B20,'Raw Gamma CPM'!$B:$AB,24,FALSE)/EXP(-LN(2)/8.03*$O20)*Standards!$H$23/$F20/VLOOKUP($B20,'Tissue Mass'!$B:$AB,24,FALSE)</f>
        <v>2.9304542497204564E-3</v>
      </c>
      <c r="Z20" s="91">
        <f>VLOOKUP($B20,'Raw Gamma CPM'!$B:$AB,25,FALSE)/EXP(-LN(2)/8.03*$O20)*Standards!$H$23/$F20/VLOOKUP($B20,'Tissue Mass'!$B:$AB,25,FALSE)</f>
        <v>1.2910552433627609E-3</v>
      </c>
      <c r="AA20" s="91">
        <f>VLOOKUP($B20,'Raw Gamma CPM'!$B:$AB,26,FALSE)/EXP(-LN(2)/8.03*$O20)*Standards!$H$23/$F20/VLOOKUP($B20,'Tissue Mass'!$B:$AB,26,FALSE)</f>
        <v>4.7824569216953602E-4</v>
      </c>
      <c r="AB20" s="92">
        <f>VLOOKUP($B20,'Raw Gamma CPM'!$B:$AB,27,FALSE)/EXP(-LN(2)/8.03*$O20)*Standards!$H$23/$F20/VLOOKUP($B20,'Tissue Mass'!$B:$AB,27,FALSE)</f>
        <v>3.4641737204825187E-4</v>
      </c>
    </row>
    <row r="21" spans="2:29" x14ac:dyDescent="0.25">
      <c r="B21" s="21">
        <v>34</v>
      </c>
      <c r="C21" s="12">
        <v>42650</v>
      </c>
      <c r="D21" s="56">
        <v>0.56388888888888888</v>
      </c>
      <c r="E21" s="13">
        <v>216</v>
      </c>
      <c r="F21" s="15">
        <v>187.4</v>
      </c>
      <c r="G21" s="12">
        <v>42659</v>
      </c>
      <c r="H21" s="18">
        <v>28.3</v>
      </c>
      <c r="I21" s="99" t="s">
        <v>35</v>
      </c>
      <c r="J21" s="15">
        <v>54</v>
      </c>
      <c r="K21" s="14">
        <v>52</v>
      </c>
      <c r="L21" s="58">
        <f t="shared" si="0"/>
        <v>0.96296296296296291</v>
      </c>
      <c r="M21" s="61">
        <v>42660</v>
      </c>
      <c r="N21" s="82">
        <v>7.8240740740740753E-3</v>
      </c>
      <c r="O21" s="127">
        <f t="shared" si="1"/>
        <v>9.4439351851906395</v>
      </c>
      <c r="P21" s="132">
        <f>VLOOKUP($B21,'Raw Gamma CPM'!$B:$AB,15,FALSE)/EXP(-LN(2)/8.03*$O21)*Standards!$H$23/$F21/VLOOKUP($B21,'Tissue Mass'!$B:$AB,15,FALSE)</f>
        <v>3.2331405396481721E-4</v>
      </c>
      <c r="Q21" s="91">
        <f>VLOOKUP($B21,'Raw Gamma CPM'!$B:$AB,16,FALSE)/EXP(-LN(2)/8.03*$O21)*Standards!$H$23/$F21/VLOOKUP($B21,'Tissue Mass'!$B:$AB,16,FALSE)</f>
        <v>3.6627824887302027E-4</v>
      </c>
      <c r="R21" s="91">
        <f>VLOOKUP($B21,'Raw Gamma CPM'!$B:$AB,17,FALSE)/EXP(-LN(2)/8.03*$O21)*Standards!$H$23/$F21/VLOOKUP($B21,'Tissue Mass'!$B:$AB,17,FALSE)</f>
        <v>1.6373638512075898E-4</v>
      </c>
      <c r="S21" s="91">
        <f>VLOOKUP($B21,'Raw Gamma CPM'!$B:$AB,18,FALSE)/EXP(-LN(2)/8.03*$O21)*Standards!$H$23/$F21/VLOOKUP($B21,'Tissue Mass'!$B:$AB,18,FALSE)</f>
        <v>2.7417107422797465E-4</v>
      </c>
      <c r="T21" s="91">
        <f>VLOOKUP($B21,'Raw Gamma CPM'!$B:$AB,19,FALSE)/EXP(-LN(2)/8.03*$O21)*Standards!$H$23/$F21/VLOOKUP($B21,'Tissue Mass'!$B:$AB,19,FALSE)</f>
        <v>8.6222690935707088E-4</v>
      </c>
      <c r="U21" s="91">
        <f>VLOOKUP($B21,'Raw Gamma CPM'!$B:$AB,20,FALSE)/EXP(-LN(2)/8.03*$O21)*Standards!$H$23/$F21/VLOOKUP($B21,'Tissue Mass'!$B:$AB,20,FALSE)</f>
        <v>1.9321735281299264E-3</v>
      </c>
      <c r="V21" s="91">
        <f>VLOOKUP($B21,'Raw Gamma CPM'!$B:$AB,21,FALSE)/EXP(-LN(2)/8.03*$O21)*Standards!$H$23/$F21/VLOOKUP($B21,'Tissue Mass'!$B:$AB,21,FALSE)</f>
        <v>1.2352868300292752E-2</v>
      </c>
      <c r="W21" s="138"/>
      <c r="X21" s="91">
        <f>VLOOKUP($B21,'Raw Gamma CPM'!$B:$AB,23,FALSE)/EXP(-LN(2)/8.03*$O21)*Standards!$H$23/$F21/VLOOKUP($B21,'Tissue Mass'!$B:$AB,23,FALSE)</f>
        <v>0.19969324205867003</v>
      </c>
      <c r="Y21" s="91">
        <f>VLOOKUP($B21,'Raw Gamma CPM'!$B:$AB,24,FALSE)/EXP(-LN(2)/8.03*$O21)*Standards!$H$23/$F21/VLOOKUP($B21,'Tissue Mass'!$B:$AB,24,FALSE)</f>
        <v>5.0986250015947379E-2</v>
      </c>
      <c r="Z21" s="91">
        <f>VLOOKUP($B21,'Raw Gamma CPM'!$B:$AB,25,FALSE)/EXP(-LN(2)/8.03*$O21)*Standards!$H$23/$F21/VLOOKUP($B21,'Tissue Mass'!$B:$AB,25,FALSE)</f>
        <v>2.0912521145073216E-3</v>
      </c>
      <c r="AA21" s="91">
        <f>VLOOKUP($B21,'Raw Gamma CPM'!$B:$AB,26,FALSE)/EXP(-LN(2)/8.03*$O21)*Standards!$H$23/$F21/VLOOKUP($B21,'Tissue Mass'!$B:$AB,26,FALSE)</f>
        <v>1.5701775019488782E-3</v>
      </c>
      <c r="AB21" s="92">
        <f>VLOOKUP($B21,'Raw Gamma CPM'!$B:$AB,27,FALSE)/EXP(-LN(2)/8.03*$O21)*Standards!$H$23/$F21/VLOOKUP($B21,'Tissue Mass'!$B:$AB,27,FALSE)</f>
        <v>4.7937011579140089E-4</v>
      </c>
    </row>
    <row r="22" spans="2:29" x14ac:dyDescent="0.25">
      <c r="B22" s="21">
        <v>35</v>
      </c>
      <c r="C22" s="12">
        <v>42650</v>
      </c>
      <c r="D22" s="56">
        <v>0.57777777777777783</v>
      </c>
      <c r="E22" s="13">
        <v>216</v>
      </c>
      <c r="F22" s="15">
        <v>430</v>
      </c>
      <c r="G22" s="12">
        <v>42659</v>
      </c>
      <c r="H22" s="18">
        <v>30.2</v>
      </c>
      <c r="I22" s="99" t="s">
        <v>35</v>
      </c>
      <c r="J22" s="15">
        <v>170</v>
      </c>
      <c r="K22" s="14">
        <v>173</v>
      </c>
      <c r="L22" s="58">
        <f t="shared" si="0"/>
        <v>1.0176470588235293</v>
      </c>
      <c r="M22" s="61">
        <v>42660</v>
      </c>
      <c r="N22" s="82">
        <v>1.1990740740740739E-2</v>
      </c>
      <c r="O22" s="127">
        <f t="shared" si="1"/>
        <v>9.4342129629658302</v>
      </c>
      <c r="P22" s="132">
        <f>VLOOKUP($B22,'Raw Gamma CPM'!$B:$AB,15,FALSE)/EXP(-LN(2)/8.03*$O22)*Standards!$H$23/$F22/VLOOKUP($B22,'Tissue Mass'!$B:$AB,15,FALSE)</f>
        <v>1.7972130501596215E-4</v>
      </c>
      <c r="Q22" s="91">
        <f>VLOOKUP($B22,'Raw Gamma CPM'!$B:$AB,16,FALSE)/EXP(-LN(2)/8.03*$O22)*Standards!$H$23/$F22/VLOOKUP($B22,'Tissue Mass'!$B:$AB,16,FALSE)</f>
        <v>2.5954303883606126E-4</v>
      </c>
      <c r="R22" s="91">
        <f>VLOOKUP($B22,'Raw Gamma CPM'!$B:$AB,17,FALSE)/EXP(-LN(2)/8.03*$O22)*Standards!$H$23/$F22/VLOOKUP($B22,'Tissue Mass'!$B:$AB,17,FALSE)</f>
        <v>1.3582574272006837E-4</v>
      </c>
      <c r="S22" s="91">
        <f>VLOOKUP($B22,'Raw Gamma CPM'!$B:$AB,18,FALSE)/EXP(-LN(2)/8.03*$O22)*Standards!$H$23/$F22/VLOOKUP($B22,'Tissue Mass'!$B:$AB,18,FALSE)</f>
        <v>1.759799059309862E-4</v>
      </c>
      <c r="T22" s="91">
        <f>VLOOKUP($B22,'Raw Gamma CPM'!$B:$AB,19,FALSE)/EXP(-LN(2)/8.03*$O22)*Standards!$H$23/$F22/VLOOKUP($B22,'Tissue Mass'!$B:$AB,19,FALSE)</f>
        <v>3.5365917676378041E-4</v>
      </c>
      <c r="U22" s="91">
        <f>VLOOKUP($B22,'Raw Gamma CPM'!$B:$AB,20,FALSE)/EXP(-LN(2)/8.03*$O22)*Standards!$H$23/$F22/VLOOKUP($B22,'Tissue Mass'!$B:$AB,20,FALSE)</f>
        <v>3.8634870929346089E-4</v>
      </c>
      <c r="V22" s="91">
        <f>VLOOKUP($B22,'Raw Gamma CPM'!$B:$AB,21,FALSE)/EXP(-LN(2)/8.03*$O22)*Standards!$H$23/$F22/VLOOKUP($B22,'Tissue Mass'!$B:$AB,21,FALSE)</f>
        <v>7.1560243272748489E-4</v>
      </c>
      <c r="W22" s="138"/>
      <c r="X22" s="91">
        <f>VLOOKUP($B22,'Raw Gamma CPM'!$B:$AB,23,FALSE)/EXP(-LN(2)/8.03*$O22)*Standards!$H$23/$F22/VLOOKUP($B22,'Tissue Mass'!$B:$AB,23,FALSE)</f>
        <v>2.4023874066461249E-3</v>
      </c>
      <c r="Y22" s="91">
        <f>VLOOKUP($B22,'Raw Gamma CPM'!$B:$AB,24,FALSE)/EXP(-LN(2)/8.03*$O22)*Standards!$H$23/$F22/VLOOKUP($B22,'Tissue Mass'!$B:$AB,24,FALSE)</f>
        <v>7.5400766146806577E-3</v>
      </c>
      <c r="Z22" s="91">
        <f>VLOOKUP($B22,'Raw Gamma CPM'!$B:$AB,25,FALSE)/EXP(-LN(2)/8.03*$O22)*Standards!$H$23/$F22/VLOOKUP($B22,'Tissue Mass'!$B:$AB,25,FALSE)</f>
        <v>7.5975631682845626E-4</v>
      </c>
      <c r="AA22" s="91">
        <f>VLOOKUP($B22,'Raw Gamma CPM'!$B:$AB,26,FALSE)/EXP(-LN(2)/8.03*$O22)*Standards!$H$23/$F22/VLOOKUP($B22,'Tissue Mass'!$B:$AB,26,FALSE)</f>
        <v>1.7020577139106488E-3</v>
      </c>
      <c r="AB22" s="92">
        <f>VLOOKUP($B22,'Raw Gamma CPM'!$B:$AB,27,FALSE)/EXP(-LN(2)/8.03*$O22)*Standards!$H$23/$F22/VLOOKUP($B22,'Tissue Mass'!$B:$AB,27,FALSE)</f>
        <v>6.096899833195335E-4</v>
      </c>
    </row>
    <row r="23" spans="2:29" x14ac:dyDescent="0.25">
      <c r="B23" s="21">
        <v>53</v>
      </c>
      <c r="C23" s="12">
        <v>42650</v>
      </c>
      <c r="D23" s="56">
        <v>0.68888888888888899</v>
      </c>
      <c r="E23" s="13">
        <v>216</v>
      </c>
      <c r="F23" s="15">
        <v>321</v>
      </c>
      <c r="G23" s="12">
        <v>42659</v>
      </c>
      <c r="H23" s="18">
        <v>30.4</v>
      </c>
      <c r="I23" s="99" t="s">
        <v>35</v>
      </c>
      <c r="J23" s="15">
        <v>41</v>
      </c>
      <c r="K23" s="14">
        <v>31</v>
      </c>
      <c r="L23" s="58">
        <f t="shared" si="0"/>
        <v>0.75609756097560976</v>
      </c>
      <c r="M23" s="61">
        <v>42660</v>
      </c>
      <c r="N23" s="82">
        <v>1.6157407407407409E-2</v>
      </c>
      <c r="O23" s="127">
        <f t="shared" si="1"/>
        <v>9.3272685185220325</v>
      </c>
      <c r="P23" s="133">
        <f>VLOOKUP($B23,'Raw Gamma CPM'!$B:$AB,15,FALSE)/EXP(-LN(2)/8.03*$O23)*Standards!$H$23/$F23/VLOOKUP($B23,'Tissue Mass'!$B:$AB,15,FALSE)</f>
        <v>1.0048402481860688E-4</v>
      </c>
      <c r="Q23" s="111">
        <f>VLOOKUP($B23,'Raw Gamma CPM'!$B:$AB,16,FALSE)/EXP(-LN(2)/8.03*$O23)*Standards!$H$23/$F23/VLOOKUP($B23,'Tissue Mass'!$B:$AB,16,FALSE)</f>
        <v>1.2596922849653121E-4</v>
      </c>
      <c r="R23" s="111">
        <f>VLOOKUP($B23,'Raw Gamma CPM'!$B:$AB,17,FALSE)/EXP(-LN(2)/8.03*$O23)*Standards!$H$23/$F23/VLOOKUP($B23,'Tissue Mass'!$B:$AB,17,FALSE)</f>
        <v>5.8414471227704495E-5</v>
      </c>
      <c r="S23" s="111">
        <f>VLOOKUP($B23,'Raw Gamma CPM'!$B:$AB,18,FALSE)/EXP(-LN(2)/8.03*$O23)*Standards!$H$23/$F23/VLOOKUP($B23,'Tissue Mass'!$B:$AB,18,FALSE)</f>
        <v>1.0253864969821214E-4</v>
      </c>
      <c r="T23" s="111">
        <f>VLOOKUP($B23,'Raw Gamma CPM'!$B:$AB,19,FALSE)/EXP(-LN(2)/8.03*$O23)*Standards!$H$23/$F23/VLOOKUP($B23,'Tissue Mass'!$B:$AB,19,FALSE)</f>
        <v>2.5249867783518287E-4</v>
      </c>
      <c r="U23" s="111">
        <f>VLOOKUP($B23,'Raw Gamma CPM'!$B:$AB,20,FALSE)/EXP(-LN(2)/8.03*$O23)*Standards!$H$23/$F23/VLOOKUP($B23,'Tissue Mass'!$B:$AB,20,FALSE)</f>
        <v>6.7045803476810627E-3</v>
      </c>
      <c r="V23" s="111">
        <f>VLOOKUP($B23,'Raw Gamma CPM'!$B:$AB,21,FALSE)/EXP(-LN(2)/8.03*$O23)*Standards!$H$23/$F23/VLOOKUP($B23,'Tissue Mass'!$B:$AB,21,FALSE)</f>
        <v>0.28000397814047018</v>
      </c>
      <c r="W23" s="139"/>
      <c r="X23" s="111">
        <f>VLOOKUP($B23,'Raw Gamma CPM'!$B:$AB,23,FALSE)/EXP(-LN(2)/8.03*$O23)*Standards!$H$23/$F23/VLOOKUP($B23,'Tissue Mass'!$B:$AB,23,FALSE)</f>
        <v>0.11561309005377932</v>
      </c>
      <c r="Y23" s="111">
        <f>VLOOKUP($B23,'Raw Gamma CPM'!$B:$AB,24,FALSE)/EXP(-LN(2)/8.03*$O23)*Standards!$H$23/$F23/VLOOKUP($B23,'Tissue Mass'!$B:$AB,24,FALSE)</f>
        <v>1.8801348398548079E-2</v>
      </c>
      <c r="Z23" s="111">
        <f>VLOOKUP($B23,'Raw Gamma CPM'!$B:$AB,25,FALSE)/EXP(-LN(2)/8.03*$O23)*Standards!$H$23/$F23/VLOOKUP($B23,'Tissue Mass'!$B:$AB,25,FALSE)</f>
        <v>9.3014031421906644E-4</v>
      </c>
      <c r="AA23" s="111">
        <f>VLOOKUP($B23,'Raw Gamma CPM'!$B:$AB,26,FALSE)/EXP(-LN(2)/8.03*$O23)*Standards!$H$23/$F23/VLOOKUP($B23,'Tissue Mass'!$B:$AB,26,FALSE)</f>
        <v>8.7448188357562486E-3</v>
      </c>
      <c r="AB23" s="112">
        <f>VLOOKUP($B23,'Raw Gamma CPM'!$B:$AB,27,FALSE)/EXP(-LN(2)/8.03*$O23)*Standards!$H$23/$F23/VLOOKUP($B23,'Tissue Mass'!$B:$AB,27,FALSE)</f>
        <v>2.1213687728093245E-4</v>
      </c>
    </row>
    <row r="24" spans="2:29" x14ac:dyDescent="0.25">
      <c r="B24" s="21">
        <v>55</v>
      </c>
      <c r="C24" s="12">
        <v>42650</v>
      </c>
      <c r="D24" s="56">
        <v>0.70416666666666661</v>
      </c>
      <c r="E24" s="13">
        <v>216</v>
      </c>
      <c r="F24" s="15">
        <v>265</v>
      </c>
      <c r="G24" s="12">
        <v>42659</v>
      </c>
      <c r="H24" s="14">
        <v>29.4</v>
      </c>
      <c r="I24" s="99" t="s">
        <v>36</v>
      </c>
      <c r="J24" s="15">
        <v>84</v>
      </c>
      <c r="K24" s="105" t="s">
        <v>47</v>
      </c>
      <c r="L24" s="105" t="s">
        <v>47</v>
      </c>
      <c r="M24" s="105" t="s">
        <v>47</v>
      </c>
      <c r="N24" s="105" t="s">
        <v>47</v>
      </c>
      <c r="O24" s="128" t="s">
        <v>47</v>
      </c>
      <c r="P24" s="134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22"/>
    </row>
    <row r="25" spans="2:29" ht="15.75" thickBot="1" x14ac:dyDescent="0.3">
      <c r="B25" s="23"/>
      <c r="C25" s="24"/>
      <c r="D25" s="24"/>
      <c r="E25" s="25"/>
      <c r="F25" s="26"/>
      <c r="G25" s="25"/>
      <c r="H25" s="24"/>
      <c r="I25" s="101"/>
      <c r="J25" s="26"/>
      <c r="K25" s="27"/>
      <c r="L25" s="59"/>
      <c r="M25" s="62"/>
      <c r="N25" s="80"/>
      <c r="O25" s="129"/>
      <c r="P25" s="135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8"/>
    </row>
    <row r="26" spans="2:29" ht="7.5" customHeight="1" x14ac:dyDescent="0.25">
      <c r="E26" s="120"/>
      <c r="F26" s="120"/>
      <c r="G26" s="120"/>
      <c r="H26" s="121"/>
      <c r="I26" s="121"/>
      <c r="J26" s="122"/>
      <c r="K26" s="123"/>
      <c r="L26" s="124"/>
      <c r="M26" s="124"/>
      <c r="N26" s="124"/>
      <c r="O26" s="121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</row>
    <row r="27" spans="2:29" ht="18.75" customHeight="1" x14ac:dyDescent="0.25">
      <c r="N27" s="191" t="s">
        <v>43</v>
      </c>
      <c r="O27" s="191"/>
    </row>
    <row r="28" spans="2:29" x14ac:dyDescent="0.25">
      <c r="P28" s="182" t="s">
        <v>50</v>
      </c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4"/>
      <c r="AC28" s="113" t="s">
        <v>51</v>
      </c>
    </row>
    <row r="29" spans="2:29" ht="25.5" x14ac:dyDescent="0.25">
      <c r="N29" s="185" t="s">
        <v>52</v>
      </c>
      <c r="O29" s="186"/>
      <c r="P29" s="117" t="s">
        <v>2</v>
      </c>
      <c r="Q29" s="117" t="s">
        <v>3</v>
      </c>
      <c r="R29" s="117" t="s">
        <v>4</v>
      </c>
      <c r="S29" s="117" t="s">
        <v>5</v>
      </c>
      <c r="T29" s="117" t="s">
        <v>6</v>
      </c>
      <c r="U29" s="117" t="s">
        <v>7</v>
      </c>
      <c r="V29" s="117" t="s">
        <v>45</v>
      </c>
      <c r="W29" s="117" t="s">
        <v>8</v>
      </c>
      <c r="X29" s="117" t="s">
        <v>9</v>
      </c>
      <c r="Y29" s="117" t="s">
        <v>10</v>
      </c>
      <c r="Z29" s="117" t="s">
        <v>11</v>
      </c>
      <c r="AA29" s="117" t="s">
        <v>12</v>
      </c>
      <c r="AB29" s="118" t="s">
        <v>13</v>
      </c>
      <c r="AC29" s="114"/>
    </row>
    <row r="30" spans="2:29" x14ac:dyDescent="0.25">
      <c r="N30" s="115"/>
      <c r="O30" s="116">
        <v>0</v>
      </c>
      <c r="P30" s="94" t="e">
        <f t="shared" ref="P30:AB34" si="2">AVERAGEIFS(P$5:P$25,$E$5:$E$25,$O30,$I$5:$I$25,"Yes")</f>
        <v>#DIV/0!</v>
      </c>
      <c r="Q30" s="94" t="e">
        <f t="shared" si="2"/>
        <v>#DIV/0!</v>
      </c>
      <c r="R30" s="94" t="e">
        <f t="shared" si="2"/>
        <v>#DIV/0!</v>
      </c>
      <c r="S30" s="94" t="e">
        <f t="shared" si="2"/>
        <v>#DIV/0!</v>
      </c>
      <c r="T30" s="94" t="e">
        <f t="shared" si="2"/>
        <v>#DIV/0!</v>
      </c>
      <c r="U30" s="94" t="e">
        <f t="shared" si="2"/>
        <v>#DIV/0!</v>
      </c>
      <c r="V30" s="94" t="e">
        <f t="shared" si="2"/>
        <v>#DIV/0!</v>
      </c>
      <c r="W30" s="94" t="e">
        <f t="shared" si="2"/>
        <v>#DIV/0!</v>
      </c>
      <c r="X30" s="94" t="e">
        <f t="shared" si="2"/>
        <v>#DIV/0!</v>
      </c>
      <c r="Y30" s="94" t="e">
        <f t="shared" si="2"/>
        <v>#DIV/0!</v>
      </c>
      <c r="Z30" s="94" t="e">
        <f t="shared" si="2"/>
        <v>#DIV/0!</v>
      </c>
      <c r="AA30" s="94" t="e">
        <f t="shared" si="2"/>
        <v>#DIV/0!</v>
      </c>
      <c r="AB30" s="94" t="e">
        <f>AVERAGEIFS(AB$5:AB$25,$E$5:$E$25,$O30,$I$5:$I$25,"Yes")</f>
        <v>#DIV/0!</v>
      </c>
      <c r="AC30" s="114">
        <f>COUNTIFS($I$5:$I$25,"Yes",$E$5:$E$25,O30)</f>
        <v>0</v>
      </c>
    </row>
    <row r="31" spans="2:29" x14ac:dyDescent="0.25">
      <c r="N31" s="115"/>
      <c r="O31" s="116">
        <v>24</v>
      </c>
      <c r="P31" s="94">
        <f t="shared" si="2"/>
        <v>1.3209993738417941E-3</v>
      </c>
      <c r="Q31" s="94">
        <f t="shared" si="2"/>
        <v>2.222588497796921E-3</v>
      </c>
      <c r="R31" s="94">
        <f t="shared" si="2"/>
        <v>2.6382362284358618E-3</v>
      </c>
      <c r="S31" s="94">
        <f t="shared" si="2"/>
        <v>1.175598536812508E-3</v>
      </c>
      <c r="T31" s="94">
        <f t="shared" si="2"/>
        <v>2.4289799104869098E-3</v>
      </c>
      <c r="U31" s="94">
        <f t="shared" si="2"/>
        <v>3.1498034206512149E-3</v>
      </c>
      <c r="V31" s="94">
        <f t="shared" si="2"/>
        <v>6.2432165932566584E-2</v>
      </c>
      <c r="W31" s="94" t="e">
        <f t="shared" si="2"/>
        <v>#DIV/0!</v>
      </c>
      <c r="X31" s="94">
        <f t="shared" si="2"/>
        <v>7.8365120233677546E-2</v>
      </c>
      <c r="Y31" s="94">
        <f t="shared" si="2"/>
        <v>5.2126539499020796E-2</v>
      </c>
      <c r="Z31" s="94">
        <f t="shared" si="2"/>
        <v>3.5845577208268083E-3</v>
      </c>
      <c r="AA31" s="94">
        <f t="shared" si="2"/>
        <v>3.7619522532005641E-3</v>
      </c>
      <c r="AB31" s="94">
        <f t="shared" si="2"/>
        <v>7.3522023518401173E-3</v>
      </c>
      <c r="AC31" s="114">
        <f t="shared" ref="AC31:AC34" si="3">COUNTIFS($I$5:$I$25,"Yes",$E$5:$E$25,O31)</f>
        <v>4</v>
      </c>
    </row>
    <row r="32" spans="2:29" x14ac:dyDescent="0.25">
      <c r="N32" s="115"/>
      <c r="O32" s="116">
        <v>48</v>
      </c>
      <c r="P32" s="94">
        <f>AVERAGEIFS(P$5:P$25,$E$5:$E$25,$O32,$I$5:$I$25,"Yes")</f>
        <v>7.7423049316464323E-4</v>
      </c>
      <c r="Q32" s="94">
        <f t="shared" si="2"/>
        <v>3.3453008929672573E-3</v>
      </c>
      <c r="R32" s="94">
        <f t="shared" si="2"/>
        <v>3.2878707533393364E-2</v>
      </c>
      <c r="S32" s="94">
        <f t="shared" si="2"/>
        <v>9.2899554413778838E-4</v>
      </c>
      <c r="T32" s="94">
        <f t="shared" si="2"/>
        <v>2.5056039416268498E-3</v>
      </c>
      <c r="U32" s="94">
        <f t="shared" si="2"/>
        <v>2.6626848736104177E-3</v>
      </c>
      <c r="V32" s="94">
        <f t="shared" si="2"/>
        <v>4.154219351680561E-2</v>
      </c>
      <c r="W32" s="94" t="e">
        <f t="shared" si="2"/>
        <v>#DIV/0!</v>
      </c>
      <c r="X32" s="94">
        <f t="shared" si="2"/>
        <v>5.2081935413851095E-2</v>
      </c>
      <c r="Y32" s="94">
        <f t="shared" si="2"/>
        <v>1.2273438291254758E-2</v>
      </c>
      <c r="Z32" s="94">
        <f t="shared" si="2"/>
        <v>3.4912795392329195E-3</v>
      </c>
      <c r="AA32" s="94">
        <f t="shared" si="2"/>
        <v>1.8870962707645354E-3</v>
      </c>
      <c r="AB32" s="94">
        <f t="shared" si="2"/>
        <v>1.9073976647101256E-3</v>
      </c>
      <c r="AC32" s="114">
        <f t="shared" si="3"/>
        <v>4</v>
      </c>
    </row>
    <row r="33" spans="14:29" x14ac:dyDescent="0.25">
      <c r="N33" s="115"/>
      <c r="O33" s="116">
        <v>72</v>
      </c>
      <c r="P33" s="94">
        <f t="shared" si="2"/>
        <v>1.6157445190122507E-4</v>
      </c>
      <c r="Q33" s="94">
        <f t="shared" si="2"/>
        <v>3.4447767805891375E-4</v>
      </c>
      <c r="R33" s="94">
        <f t="shared" si="2"/>
        <v>8.9026007799308709E-5</v>
      </c>
      <c r="S33" s="94">
        <f t="shared" si="2"/>
        <v>1.5774896579844771E-4</v>
      </c>
      <c r="T33" s="94">
        <f t="shared" si="2"/>
        <v>2.6151880528160455E-4</v>
      </c>
      <c r="U33" s="94">
        <f t="shared" si="2"/>
        <v>7.2910915053307117E-4</v>
      </c>
      <c r="V33" s="94">
        <f t="shared" si="2"/>
        <v>9.6707330770427383E-2</v>
      </c>
      <c r="W33" s="94" t="e">
        <f t="shared" si="2"/>
        <v>#DIV/0!</v>
      </c>
      <c r="X33" s="94">
        <f t="shared" si="2"/>
        <v>7.2983071315265977E-2</v>
      </c>
      <c r="Y33" s="94">
        <f t="shared" si="2"/>
        <v>1.4443054179529484E-2</v>
      </c>
      <c r="Z33" s="94">
        <f t="shared" si="2"/>
        <v>2.0381589216904826E-3</v>
      </c>
      <c r="AA33" s="94">
        <f t="shared" si="2"/>
        <v>3.9900663472747482E-4</v>
      </c>
      <c r="AB33" s="94">
        <f t="shared" si="2"/>
        <v>3.1135630597292673E-4</v>
      </c>
      <c r="AC33" s="114">
        <f t="shared" si="3"/>
        <v>2</v>
      </c>
    </row>
    <row r="34" spans="14:29" x14ac:dyDescent="0.25">
      <c r="N34" s="115"/>
      <c r="O34" s="116">
        <v>216</v>
      </c>
      <c r="P34" s="94">
        <f t="shared" si="2"/>
        <v>2.1004224479010327E-4</v>
      </c>
      <c r="Q34" s="94">
        <f t="shared" si="2"/>
        <v>1.4433163098987894E-3</v>
      </c>
      <c r="R34" s="94">
        <f t="shared" si="2"/>
        <v>3.0274058299577414E-3</v>
      </c>
      <c r="S34" s="94">
        <f t="shared" si="2"/>
        <v>4.2435280993407111E-4</v>
      </c>
      <c r="T34" s="94">
        <f t="shared" si="2"/>
        <v>9.1337149748325658E-4</v>
      </c>
      <c r="U34" s="94">
        <f t="shared" si="2"/>
        <v>2.4835789987105623E-3</v>
      </c>
      <c r="V34" s="94">
        <f t="shared" si="2"/>
        <v>7.3515399511458648E-2</v>
      </c>
      <c r="W34" s="94" t="e">
        <f t="shared" si="2"/>
        <v>#DIV/0!</v>
      </c>
      <c r="X34" s="94">
        <f t="shared" si="2"/>
        <v>8.0226105223364486E-2</v>
      </c>
      <c r="Y34" s="94">
        <f t="shared" si="2"/>
        <v>2.0064532319724146E-2</v>
      </c>
      <c r="Z34" s="94">
        <f t="shared" si="2"/>
        <v>1.2680509972294012E-3</v>
      </c>
      <c r="AA34" s="94">
        <f t="shared" si="2"/>
        <v>3.1238249359463281E-3</v>
      </c>
      <c r="AB34" s="94">
        <f t="shared" si="2"/>
        <v>4.1190358711002968E-4</v>
      </c>
      <c r="AC34" s="114">
        <f t="shared" si="3"/>
        <v>4</v>
      </c>
    </row>
    <row r="37" spans="14:29" x14ac:dyDescent="0.25">
      <c r="P37" s="182" t="s">
        <v>55</v>
      </c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4"/>
      <c r="AC37" s="113" t="s">
        <v>51</v>
      </c>
    </row>
    <row r="38" spans="14:29" ht="25.5" x14ac:dyDescent="0.25">
      <c r="N38" s="185" t="s">
        <v>52</v>
      </c>
      <c r="O38" s="186"/>
      <c r="P38" s="117" t="s">
        <v>2</v>
      </c>
      <c r="Q38" s="117" t="s">
        <v>3</v>
      </c>
      <c r="R38" s="117" t="s">
        <v>4</v>
      </c>
      <c r="S38" s="117" t="s">
        <v>5</v>
      </c>
      <c r="T38" s="117" t="s">
        <v>6</v>
      </c>
      <c r="U38" s="117" t="s">
        <v>7</v>
      </c>
      <c r="V38" s="117" t="s">
        <v>45</v>
      </c>
      <c r="W38" s="117" t="s">
        <v>8</v>
      </c>
      <c r="X38" s="117" t="s">
        <v>9</v>
      </c>
      <c r="Y38" s="117" t="s">
        <v>10</v>
      </c>
      <c r="Z38" s="117" t="s">
        <v>11</v>
      </c>
      <c r="AA38" s="117" t="s">
        <v>12</v>
      </c>
      <c r="AB38" s="118" t="s">
        <v>13</v>
      </c>
      <c r="AC38" s="114"/>
    </row>
    <row r="39" spans="14:29" x14ac:dyDescent="0.25">
      <c r="N39" s="115"/>
      <c r="O39" s="116">
        <v>0</v>
      </c>
      <c r="P39" s="136">
        <f>_xlfn.STDEV.P(P5,P6,P7,P8)</f>
        <v>4.4038714787613042E-3</v>
      </c>
      <c r="Q39" s="136">
        <f t="shared" ref="Q39:AB39" si="4">_xlfn.STDEV.P(Q5,Q6,Q7,Q8)</f>
        <v>8.5432795400217903E-3</v>
      </c>
      <c r="R39" s="136">
        <f t="shared" si="4"/>
        <v>1.9274813466074788E-3</v>
      </c>
      <c r="S39" s="136">
        <f t="shared" si="4"/>
        <v>3.5160986585554897E-3</v>
      </c>
      <c r="T39" s="136">
        <f t="shared" si="4"/>
        <v>1.0332786000351495E-2</v>
      </c>
      <c r="U39" s="136">
        <f t="shared" si="4"/>
        <v>2.5698788486505221E-3</v>
      </c>
      <c r="V39" s="136">
        <f t="shared" si="4"/>
        <v>0.18066502918865876</v>
      </c>
      <c r="W39" s="136"/>
      <c r="X39" s="136">
        <f t="shared" si="4"/>
        <v>0.11976076834484176</v>
      </c>
      <c r="Y39" s="136">
        <f t="shared" si="4"/>
        <v>3.9194860829844046E-2</v>
      </c>
      <c r="Z39" s="136">
        <f t="shared" si="4"/>
        <v>8.2397090601259333E-3</v>
      </c>
      <c r="AA39" s="136">
        <f t="shared" si="4"/>
        <v>2.6705728055526779E-3</v>
      </c>
      <c r="AB39" s="136">
        <f t="shared" si="4"/>
        <v>4.3727914248852997E-3</v>
      </c>
      <c r="AC39" s="114">
        <f>COUNTIFS($I$5:$I$25,"Yes",$E$5:$E$25,O39)</f>
        <v>0</v>
      </c>
    </row>
    <row r="40" spans="14:29" x14ac:dyDescent="0.25">
      <c r="N40" s="115"/>
      <c r="O40" s="116">
        <v>24</v>
      </c>
      <c r="P40" s="94">
        <f>_xlfn.STDEV.P(P9,P10,P11,P12)</f>
        <v>6.4486938595611565E-4</v>
      </c>
      <c r="Q40" s="94">
        <f t="shared" ref="Q40:AB40" si="5">_xlfn.STDEV.P(Q9,Q10,Q11,Q12)</f>
        <v>1.1134676508222951E-3</v>
      </c>
      <c r="R40" s="94">
        <f t="shared" si="5"/>
        <v>3.4792668859109045E-3</v>
      </c>
      <c r="S40" s="94">
        <f t="shared" si="5"/>
        <v>4.5774469806593394E-4</v>
      </c>
      <c r="T40" s="94">
        <f t="shared" si="5"/>
        <v>1.2422151433373891E-3</v>
      </c>
      <c r="U40" s="94">
        <f t="shared" si="5"/>
        <v>2.029914023326404E-3</v>
      </c>
      <c r="V40" s="94">
        <f t="shared" si="5"/>
        <v>6.0201296830043292E-2</v>
      </c>
      <c r="W40" s="94"/>
      <c r="X40" s="94">
        <f t="shared" si="5"/>
        <v>6.5009421189935246E-2</v>
      </c>
      <c r="Y40" s="94">
        <f t="shared" si="5"/>
        <v>4.6353888922706837E-2</v>
      </c>
      <c r="Z40" s="94">
        <f t="shared" si="5"/>
        <v>2.9691732971518373E-3</v>
      </c>
      <c r="AA40" s="94">
        <f t="shared" si="5"/>
        <v>2.4499472937636745E-3</v>
      </c>
      <c r="AB40" s="94">
        <f t="shared" si="5"/>
        <v>2.2312676769060949E-3</v>
      </c>
      <c r="AC40" s="114">
        <f t="shared" ref="AC40:AC43" si="6">COUNTIFS($I$5:$I$25,"Yes",$E$5:$E$25,O40)</f>
        <v>4</v>
      </c>
    </row>
    <row r="41" spans="14:29" x14ac:dyDescent="0.25">
      <c r="N41" s="115"/>
      <c r="O41" s="116">
        <v>48</v>
      </c>
      <c r="P41" s="94">
        <f>_xlfn.STDEV.P(P13,P14,P15,P16)</f>
        <v>3.0979476177733431E-4</v>
      </c>
      <c r="Q41" s="94">
        <f t="shared" ref="Q41:AB41" si="7">_xlfn.STDEV.P(Q13,Q14,Q15,Q16)</f>
        <v>1.9793632403074723E-3</v>
      </c>
      <c r="R41" s="94">
        <f t="shared" si="7"/>
        <v>5.4748166565978154E-2</v>
      </c>
      <c r="S41" s="94">
        <f t="shared" si="7"/>
        <v>6.7710207153952914E-4</v>
      </c>
      <c r="T41" s="94">
        <f t="shared" si="7"/>
        <v>2.4221106422820044E-3</v>
      </c>
      <c r="U41" s="94">
        <f t="shared" si="7"/>
        <v>1.8727869872627275E-3</v>
      </c>
      <c r="V41" s="94">
        <f t="shared" si="7"/>
        <v>6.1640147568655386E-2</v>
      </c>
      <c r="W41" s="94"/>
      <c r="X41" s="94">
        <f t="shared" si="7"/>
        <v>3.7229489364038831E-2</v>
      </c>
      <c r="Y41" s="94">
        <f t="shared" si="7"/>
        <v>8.8857815990209636E-3</v>
      </c>
      <c r="Z41" s="94">
        <f t="shared" si="7"/>
        <v>1.2746113610624028E-3</v>
      </c>
      <c r="AA41" s="94">
        <f t="shared" si="7"/>
        <v>9.5622379742598773E-4</v>
      </c>
      <c r="AB41" s="94">
        <f t="shared" si="7"/>
        <v>1.0222158854298303E-3</v>
      </c>
      <c r="AC41" s="114">
        <f t="shared" si="6"/>
        <v>4</v>
      </c>
    </row>
    <row r="42" spans="14:29" x14ac:dyDescent="0.25">
      <c r="N42" s="115"/>
      <c r="O42" s="116">
        <v>72</v>
      </c>
      <c r="P42" s="94">
        <f>_xlfn.STDEV.P(P18,P19)</f>
        <v>3.9383270623805441E-5</v>
      </c>
      <c r="Q42" s="94">
        <f t="shared" ref="Q42:AB42" si="8">_xlfn.STDEV.P(Q18,Q19)</f>
        <v>4.5388758063599733E-5</v>
      </c>
      <c r="R42" s="94">
        <f t="shared" si="8"/>
        <v>1.8324135288763139E-5</v>
      </c>
      <c r="S42" s="94">
        <f t="shared" si="8"/>
        <v>3.5185376903515311E-5</v>
      </c>
      <c r="T42" s="94">
        <f t="shared" si="8"/>
        <v>5.4242799091427373E-5</v>
      </c>
      <c r="U42" s="94">
        <f t="shared" si="8"/>
        <v>1.2836530589593572E-4</v>
      </c>
      <c r="V42" s="94">
        <f t="shared" si="8"/>
        <v>9.5528523537160182E-2</v>
      </c>
      <c r="W42" s="94"/>
      <c r="X42" s="94">
        <f t="shared" si="8"/>
        <v>6.2129227816988555E-2</v>
      </c>
      <c r="Y42" s="94">
        <f t="shared" si="8"/>
        <v>7.7715710249389681E-3</v>
      </c>
      <c r="Z42" s="94">
        <f t="shared" si="8"/>
        <v>9.0444323560186864E-4</v>
      </c>
      <c r="AA42" s="94">
        <f t="shared" si="8"/>
        <v>2.1215869419641977E-4</v>
      </c>
      <c r="AB42" s="94">
        <f t="shared" si="8"/>
        <v>6.663068186807969E-5</v>
      </c>
      <c r="AC42" s="114">
        <f t="shared" si="6"/>
        <v>2</v>
      </c>
    </row>
    <row r="43" spans="14:29" x14ac:dyDescent="0.25">
      <c r="N43" s="115"/>
      <c r="O43" s="116">
        <v>216</v>
      </c>
      <c r="P43" s="94">
        <f>_xlfn.STDEV.P(P20,P21,P22,P23)</f>
        <v>8.1333905614796833E-5</v>
      </c>
      <c r="Q43" s="94">
        <f t="shared" ref="Q43:AB43" si="9">_xlfn.STDEV.P(Q20,Q21,Q22,Q23)</f>
        <v>2.0676043569246047E-3</v>
      </c>
      <c r="R43" s="94">
        <f t="shared" si="9"/>
        <v>5.0370906012103013E-3</v>
      </c>
      <c r="S43" s="94">
        <f t="shared" si="9"/>
        <v>4.2033891529490522E-4</v>
      </c>
      <c r="T43" s="94">
        <f t="shared" si="9"/>
        <v>7.6973096549121068E-4</v>
      </c>
      <c r="U43" s="94">
        <f t="shared" si="9"/>
        <v>2.4995804054496447E-3</v>
      </c>
      <c r="V43" s="94">
        <f t="shared" si="9"/>
        <v>0.11930869181595975</v>
      </c>
      <c r="W43" s="94"/>
      <c r="X43" s="94">
        <f t="shared" si="9"/>
        <v>8.2938003428721055E-2</v>
      </c>
      <c r="Y43" s="94">
        <f t="shared" si="9"/>
        <v>1.8762908096296133E-2</v>
      </c>
      <c r="Z43" s="94">
        <f t="shared" si="9"/>
        <v>5.1252716675416108E-4</v>
      </c>
      <c r="AA43" s="94">
        <f t="shared" si="9"/>
        <v>3.2798591562605566E-3</v>
      </c>
      <c r="AB43" s="94">
        <f t="shared" si="9"/>
        <v>1.4821131344883669E-4</v>
      </c>
      <c r="AC43" s="114">
        <f t="shared" si="6"/>
        <v>4</v>
      </c>
    </row>
  </sheetData>
  <autoFilter ref="B4:AB25" xr:uid="{00000000-0009-0000-0000-000002000000}">
    <sortState xmlns:xlrd2="http://schemas.microsoft.com/office/spreadsheetml/2017/richdata2" ref="B6:AB25">
      <sortCondition ref="E4:E25"/>
    </sortState>
  </autoFilter>
  <mergeCells count="20">
    <mergeCell ref="M3:M4"/>
    <mergeCell ref="N3:N4"/>
    <mergeCell ref="O3:O4"/>
    <mergeCell ref="G3:G4"/>
    <mergeCell ref="B3:B4"/>
    <mergeCell ref="C3:C4"/>
    <mergeCell ref="D3:D4"/>
    <mergeCell ref="E3:E4"/>
    <mergeCell ref="F3:F4"/>
    <mergeCell ref="H3:H4"/>
    <mergeCell ref="I3:I4"/>
    <mergeCell ref="J3:J4"/>
    <mergeCell ref="K3:K4"/>
    <mergeCell ref="L3:L4"/>
    <mergeCell ref="P3:AB3"/>
    <mergeCell ref="N27:O27"/>
    <mergeCell ref="P28:AB28"/>
    <mergeCell ref="P37:AB37"/>
    <mergeCell ref="N38:O38"/>
    <mergeCell ref="N29:O2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34"/>
  <sheetViews>
    <sheetView showGridLines="0" workbookViewId="0">
      <selection activeCell="K28" sqref="K28"/>
    </sheetView>
  </sheetViews>
  <sheetFormatPr defaultRowHeight="15" x14ac:dyDescent="0.25"/>
  <cols>
    <col min="1" max="1" width="1.42578125" customWidth="1"/>
    <col min="2" max="2" width="9.140625" style="4"/>
    <col min="5" max="6" width="10.7109375" style="5" customWidth="1"/>
    <col min="7" max="7" width="10" style="5" customWidth="1"/>
    <col min="10" max="10" width="12.140625" style="6" customWidth="1"/>
    <col min="11" max="11" width="11.5703125" style="2" customWidth="1"/>
    <col min="12" max="14" width="11.5703125" style="32" customWidth="1"/>
    <col min="15" max="15" width="10" customWidth="1"/>
    <col min="16" max="28" width="10.28515625" style="3" customWidth="1"/>
    <col min="29" max="29" width="4.28515625" customWidth="1"/>
  </cols>
  <sheetData>
    <row r="1" spans="2:28" ht="23.25" x14ac:dyDescent="0.35">
      <c r="B1" s="31" t="s">
        <v>42</v>
      </c>
    </row>
    <row r="2" spans="2:28" ht="11.25" customHeight="1" thickBot="1" x14ac:dyDescent="0.3">
      <c r="B2" s="30"/>
    </row>
    <row r="3" spans="2:28" ht="17.25" customHeight="1" x14ac:dyDescent="0.25">
      <c r="B3" s="230" t="s">
        <v>0</v>
      </c>
      <c r="C3" s="226" t="s">
        <v>31</v>
      </c>
      <c r="D3" s="226" t="s">
        <v>30</v>
      </c>
      <c r="E3" s="226" t="s">
        <v>15</v>
      </c>
      <c r="F3" s="222" t="s">
        <v>46</v>
      </c>
      <c r="G3" s="220" t="s">
        <v>39</v>
      </c>
      <c r="H3" s="226" t="s">
        <v>16</v>
      </c>
      <c r="I3" s="220" t="s">
        <v>34</v>
      </c>
      <c r="J3" s="222" t="s">
        <v>48</v>
      </c>
      <c r="K3" s="224" t="s">
        <v>17</v>
      </c>
      <c r="L3" s="226" t="s">
        <v>49</v>
      </c>
      <c r="M3" s="220" t="s">
        <v>32</v>
      </c>
      <c r="N3" s="228" t="s">
        <v>28</v>
      </c>
      <c r="O3" s="215" t="s">
        <v>40</v>
      </c>
      <c r="P3" s="217" t="s">
        <v>53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9"/>
    </row>
    <row r="4" spans="2:28" s="1" customFormat="1" ht="26.25" customHeight="1" thickBot="1" x14ac:dyDescent="0.3">
      <c r="B4" s="231"/>
      <c r="C4" s="227"/>
      <c r="D4" s="227"/>
      <c r="E4" s="227"/>
      <c r="F4" s="223"/>
      <c r="G4" s="221"/>
      <c r="H4" s="227"/>
      <c r="I4" s="221"/>
      <c r="J4" s="223"/>
      <c r="K4" s="225"/>
      <c r="L4" s="227"/>
      <c r="M4" s="221"/>
      <c r="N4" s="229"/>
      <c r="O4" s="216"/>
      <c r="P4" s="36" t="s">
        <v>2</v>
      </c>
      <c r="Q4" s="37" t="s">
        <v>3</v>
      </c>
      <c r="R4" s="37" t="s">
        <v>4</v>
      </c>
      <c r="S4" s="37" t="s">
        <v>5</v>
      </c>
      <c r="T4" s="37" t="s">
        <v>6</v>
      </c>
      <c r="U4" s="37" t="s">
        <v>7</v>
      </c>
      <c r="V4" s="37" t="s">
        <v>45</v>
      </c>
      <c r="W4" s="37" t="s">
        <v>8</v>
      </c>
      <c r="X4" s="37" t="s">
        <v>9</v>
      </c>
      <c r="Y4" s="37" t="s">
        <v>10</v>
      </c>
      <c r="Z4" s="37" t="s">
        <v>11</v>
      </c>
      <c r="AA4" s="37" t="s">
        <v>12</v>
      </c>
      <c r="AB4" s="38" t="s">
        <v>13</v>
      </c>
    </row>
    <row r="5" spans="2:28" x14ac:dyDescent="0.25">
      <c r="B5" s="19">
        <v>11</v>
      </c>
      <c r="C5" s="7">
        <v>42650</v>
      </c>
      <c r="D5" s="55">
        <v>0.41666666666666669</v>
      </c>
      <c r="E5" s="8">
        <v>0</v>
      </c>
      <c r="F5" s="10">
        <v>267</v>
      </c>
      <c r="G5" s="7">
        <v>42650</v>
      </c>
      <c r="H5" s="9">
        <v>29.9</v>
      </c>
      <c r="I5" s="98" t="s">
        <v>36</v>
      </c>
      <c r="J5" s="10">
        <v>267</v>
      </c>
      <c r="K5" s="9">
        <v>189</v>
      </c>
      <c r="L5" s="57">
        <f t="shared" ref="L5:L23" si="0">K5/J5</f>
        <v>0.7078651685393258</v>
      </c>
      <c r="M5" s="60">
        <v>42659</v>
      </c>
      <c r="N5" s="81">
        <v>0.82314814814814818</v>
      </c>
      <c r="O5" s="102">
        <f t="shared" ref="O5:O23" si="1">(M5+N5)-(C5+D5)</f>
        <v>9.4064814814846613</v>
      </c>
      <c r="P5" s="34">
        <f>VLOOKUP($B5,'Raw Gamma CPM'!$B:$AB,15,FALSE)*Standards!$H$23/(VLOOKUP($B5,'Tissue Mass'!$B:$AB,15,FALSE))</f>
        <v>0.43124516134876723</v>
      </c>
      <c r="Q5" s="16">
        <f>VLOOKUP($B5,'Raw Gamma CPM'!$B:$AB,16,FALSE)*Standards!$H$23/(VLOOKUP($B5,'Tissue Mass'!$B:$AB,16,FALSE))</f>
        <v>0.10444199195062592</v>
      </c>
      <c r="R5" s="16">
        <f>VLOOKUP($B5,'Raw Gamma CPM'!$B:$AB,17,FALSE)*Standards!$H$23/(VLOOKUP($B5,'Tissue Mass'!$B:$AB,17,FALSE))</f>
        <v>8.9268327424905369E-3</v>
      </c>
      <c r="S5" s="16">
        <f>VLOOKUP($B5,'Raw Gamma CPM'!$B:$AB,18,FALSE)*Standards!$H$23/(VLOOKUP($B5,'Tissue Mass'!$B:$AB,18,FALSE))</f>
        <v>0.24772514582905816</v>
      </c>
      <c r="T5" s="16">
        <f>VLOOKUP($B5,'Raw Gamma CPM'!$B:$AB,19,FALSE)*Standards!$H$23/(VLOOKUP($B5,'Tissue Mass'!$B:$AB,19,FALSE))</f>
        <v>0.40152059278404051</v>
      </c>
      <c r="U5" s="16">
        <f>VLOOKUP($B5,'Raw Gamma CPM'!$B:$AB,20,FALSE)*Standards!$H$23/(VLOOKUP($B5,'Tissue Mass'!$B:$AB,20,FALSE))</f>
        <v>1.1330702601244176</v>
      </c>
      <c r="V5" s="16">
        <f>VLOOKUP($B5,'Raw Gamma CPM'!$B:$AB,21,FALSE)*Standards!$H$23/(VLOOKUP($B5,'Tissue Mass'!$B:$AB,21,FALSE))</f>
        <v>8.9098456584533867</v>
      </c>
      <c r="W5" s="16"/>
      <c r="X5" s="16">
        <f>VLOOKUP($B5,'Raw Gamma CPM'!$B:$AB,23,FALSE)*Standards!$H$23/(VLOOKUP($B5,'Tissue Mass'!$B:$AB,23,FALSE))</f>
        <v>11.992836521472148</v>
      </c>
      <c r="Y5" s="16">
        <f>VLOOKUP($B5,'Raw Gamma CPM'!$B:$AB,24,FALSE)*Standards!$H$23/(VLOOKUP($B5,'Tissue Mass'!$B:$AB,24,FALSE))</f>
        <v>1.5930878057323565</v>
      </c>
      <c r="Z5" s="16">
        <f>VLOOKUP($B5,'Raw Gamma CPM'!$B:$AB,25,FALSE)*Standards!$H$23/(VLOOKUP($B5,'Tissue Mass'!$B:$AB,25,FALSE))</f>
        <v>0.54915759121498042</v>
      </c>
      <c r="AA5" s="16">
        <f>VLOOKUP($B5,'Raw Gamma CPM'!$B:$AB,26,FALSE)*Standards!$H$23/(VLOOKUP($B5,'Tissue Mass'!$B:$AB,26,FALSE))</f>
        <v>1.1679983933147871</v>
      </c>
      <c r="AB5" s="22">
        <f>VLOOKUP($B5,'Raw Gamma CPM'!$B:$AB,27,FALSE)*Standards!$H$23/(VLOOKUP($B5,'Tissue Mass'!$B:$AB,27,FALSE))</f>
        <v>0.70290740198815049</v>
      </c>
    </row>
    <row r="6" spans="2:28" x14ac:dyDescent="0.25">
      <c r="B6" s="21">
        <v>12</v>
      </c>
      <c r="C6" s="12">
        <v>42650</v>
      </c>
      <c r="D6" s="56">
        <v>0.43194444444444446</v>
      </c>
      <c r="E6" s="13">
        <v>0</v>
      </c>
      <c r="F6" s="15">
        <v>83</v>
      </c>
      <c r="G6" s="12">
        <v>42650</v>
      </c>
      <c r="H6" s="14">
        <v>26.9</v>
      </c>
      <c r="I6" s="99" t="s">
        <v>36</v>
      </c>
      <c r="J6" s="15">
        <v>83</v>
      </c>
      <c r="K6" s="14">
        <v>8.1999999999999993</v>
      </c>
      <c r="L6" s="58">
        <f t="shared" si="0"/>
        <v>9.8795180722891562E-2</v>
      </c>
      <c r="M6" s="61">
        <v>42659</v>
      </c>
      <c r="N6" s="82">
        <v>0.82731481481481473</v>
      </c>
      <c r="O6" s="103">
        <f t="shared" si="1"/>
        <v>9.3953703703737119</v>
      </c>
      <c r="P6" s="34">
        <f>VLOOKUP($B6,'Raw Gamma CPM'!$B:$AB,15,FALSE)*Standards!$H$23/(VLOOKUP($B6,'Tissue Mass'!$B:$AB,15,FALSE))</f>
        <v>0.17882147017550687</v>
      </c>
      <c r="Q6" s="16">
        <f>VLOOKUP($B6,'Raw Gamma CPM'!$B:$AB,16,FALSE)*Standards!$H$23/(VLOOKUP($B6,'Tissue Mass'!$B:$AB,16,FALSE))</f>
        <v>8.9544787404293197E-2</v>
      </c>
      <c r="R6" s="16">
        <f>VLOOKUP($B6,'Raw Gamma CPM'!$B:$AB,17,FALSE)*Standards!$H$23/(VLOOKUP($B6,'Tissue Mass'!$B:$AB,17,FALSE))</f>
        <v>5.5729478297629434E-2</v>
      </c>
      <c r="S6" s="16">
        <f>VLOOKUP($B6,'Raw Gamma CPM'!$B:$AB,18,FALSE)*Standards!$H$23/(VLOOKUP($B6,'Tissue Mass'!$B:$AB,18,FALSE))</f>
        <v>0.21354340460449289</v>
      </c>
      <c r="T6" s="16">
        <f>VLOOKUP($B6,'Raw Gamma CPM'!$B:$AB,19,FALSE)*Standards!$H$23/(VLOOKUP($B6,'Tissue Mass'!$B:$AB,19,FALSE))</f>
        <v>0.47157596938491814</v>
      </c>
      <c r="U6" s="16">
        <f>VLOOKUP($B6,'Raw Gamma CPM'!$B:$AB,20,FALSE)*Standards!$H$23/(VLOOKUP($B6,'Tissue Mass'!$B:$AB,20,FALSE))</f>
        <v>0.31044407873414809</v>
      </c>
      <c r="V6" s="16">
        <f>VLOOKUP($B6,'Raw Gamma CPM'!$B:$AB,21,FALSE)*Standards!$H$23/(VLOOKUP($B6,'Tissue Mass'!$B:$AB,21,FALSE))</f>
        <v>8.9583941576716537</v>
      </c>
      <c r="W6" s="16"/>
      <c r="X6" s="16">
        <f>VLOOKUP($B6,'Raw Gamma CPM'!$B:$AB,23,FALSE)*Standards!$H$23/(VLOOKUP($B6,'Tissue Mass'!$B:$AB,23,FALSE))</f>
        <v>4.7519837642002631</v>
      </c>
      <c r="Y6" s="16">
        <f>VLOOKUP($B6,'Raw Gamma CPM'!$B:$AB,24,FALSE)*Standards!$H$23/(VLOOKUP($B6,'Tissue Mass'!$B:$AB,24,FALSE))</f>
        <v>0.532600380377662</v>
      </c>
      <c r="Z6" s="16">
        <f>VLOOKUP($B6,'Raw Gamma CPM'!$B:$AB,25,FALSE)*Standards!$H$23/(VLOOKUP($B6,'Tissue Mass'!$B:$AB,25,FALSE))</f>
        <v>0.20986152949930592</v>
      </c>
      <c r="AA6" s="16">
        <f>VLOOKUP($B6,'Raw Gamma CPM'!$B:$AB,26,FALSE)*Standards!$H$23/(VLOOKUP($B6,'Tissue Mass'!$B:$AB,26,FALSE))</f>
        <v>0.4855743080250009</v>
      </c>
      <c r="AB6" s="22">
        <f>VLOOKUP($B6,'Raw Gamma CPM'!$B:$AB,27,FALSE)*Standards!$H$23/(VLOOKUP($B6,'Tissue Mass'!$B:$AB,27,FALSE))</f>
        <v>0.22808048888397311</v>
      </c>
    </row>
    <row r="7" spans="2:28" x14ac:dyDescent="0.25">
      <c r="B7" s="21">
        <v>13</v>
      </c>
      <c r="C7" s="12">
        <v>42650</v>
      </c>
      <c r="D7" s="56">
        <v>0.45</v>
      </c>
      <c r="E7" s="13">
        <v>0</v>
      </c>
      <c r="F7" s="15">
        <v>16.2</v>
      </c>
      <c r="G7" s="12">
        <v>42650</v>
      </c>
      <c r="H7" s="14">
        <v>38.799999999999997</v>
      </c>
      <c r="I7" s="99" t="s">
        <v>36</v>
      </c>
      <c r="J7" s="15">
        <v>16.2</v>
      </c>
      <c r="K7" s="14">
        <v>7.9</v>
      </c>
      <c r="L7" s="58">
        <f t="shared" si="0"/>
        <v>0.48765432098765438</v>
      </c>
      <c r="M7" s="61">
        <v>42659</v>
      </c>
      <c r="N7" s="82">
        <v>0.83148148148148149</v>
      </c>
      <c r="O7" s="103">
        <f t="shared" si="1"/>
        <v>9.3814814814832062</v>
      </c>
      <c r="P7" s="34">
        <f>VLOOKUP($B7,'Raw Gamma CPM'!$B:$AB,15,FALSE)*Standards!$H$23/(VLOOKUP($B7,'Tissue Mass'!$B:$AB,15,FALSE))</f>
        <v>6.8979370942491042E-2</v>
      </c>
      <c r="Q7" s="16">
        <f>VLOOKUP($B7,'Raw Gamma CPM'!$B:$AB,16,FALSE)*Standards!$H$23/(VLOOKUP($B7,'Tissue Mass'!$B:$AB,16,FALSE))</f>
        <v>0.16158484398247835</v>
      </c>
      <c r="R7" s="16">
        <f>VLOOKUP($B7,'Raw Gamma CPM'!$B:$AB,17,FALSE)*Standards!$H$23/(VLOOKUP($B7,'Tissue Mass'!$B:$AB,17,FALSE))</f>
        <v>3.5909637732551243E-2</v>
      </c>
      <c r="S7" s="16">
        <f>VLOOKUP($B7,'Raw Gamma CPM'!$B:$AB,18,FALSE)*Standards!$H$23/(VLOOKUP($B7,'Tissue Mass'!$B:$AB,18,FALSE))</f>
        <v>8.5723729157804823E-2</v>
      </c>
      <c r="T7" s="16">
        <f>VLOOKUP($B7,'Raw Gamma CPM'!$B:$AB,19,FALSE)*Standards!$H$23/(VLOOKUP($B7,'Tissue Mass'!$B:$AB,19,FALSE))</f>
        <v>0.22859207547901284</v>
      </c>
      <c r="U7" s="16">
        <f>VLOOKUP($B7,'Raw Gamma CPM'!$B:$AB,20,FALSE)*Standards!$H$23/(VLOOKUP($B7,'Tissue Mass'!$B:$AB,20,FALSE))</f>
        <v>6.6979718127616397E-2</v>
      </c>
      <c r="V7" s="16">
        <f>VLOOKUP($B7,'Raw Gamma CPM'!$B:$AB,21,FALSE)*Standards!$H$23/(VLOOKUP($B7,'Tissue Mass'!$B:$AB,21,FALSE))</f>
        <v>4.1363967376183064</v>
      </c>
      <c r="W7" s="16"/>
      <c r="X7" s="16">
        <f>VLOOKUP($B7,'Raw Gamma CPM'!$B:$AB,23,FALSE)*Standards!$H$23/(VLOOKUP($B7,'Tissue Mass'!$B:$AB,23,FALSE))</f>
        <v>0.25281151576262573</v>
      </c>
      <c r="Y7" s="16">
        <f>VLOOKUP($B7,'Raw Gamma CPM'!$B:$AB,24,FALSE)*Standards!$H$23/(VLOOKUP($B7,'Tissue Mass'!$B:$AB,24,FALSE))</f>
        <v>0.23421193972532814</v>
      </c>
      <c r="Z7" s="16">
        <f>VLOOKUP($B7,'Raw Gamma CPM'!$B:$AB,25,FALSE)*Standards!$H$23/(VLOOKUP($B7,'Tissue Mass'!$B:$AB,25,FALSE))</f>
        <v>9.1870938506338984E-2</v>
      </c>
      <c r="AA7" s="16">
        <f>VLOOKUP($B7,'Raw Gamma CPM'!$B:$AB,26,FALSE)*Standards!$H$23/(VLOOKUP($B7,'Tissue Mass'!$B:$AB,26,FALSE))</f>
        <v>0.10704489751163182</v>
      </c>
      <c r="AB7" s="22">
        <f>VLOOKUP($B7,'Raw Gamma CPM'!$B:$AB,27,FALSE)*Standards!$H$23/(VLOOKUP($B7,'Tissue Mass'!$B:$AB,27,FALSE))</f>
        <v>8.8756774867636015E-2</v>
      </c>
    </row>
    <row r="8" spans="2:28" x14ac:dyDescent="0.25">
      <c r="B8" s="21">
        <v>14</v>
      </c>
      <c r="C8" s="12">
        <v>42650</v>
      </c>
      <c r="D8" s="56">
        <v>0.46249999999999997</v>
      </c>
      <c r="E8" s="13">
        <v>0</v>
      </c>
      <c r="F8" s="15">
        <v>26.9</v>
      </c>
      <c r="G8" s="12">
        <v>42650</v>
      </c>
      <c r="H8" s="14">
        <v>30.3</v>
      </c>
      <c r="I8" s="99" t="s">
        <v>36</v>
      </c>
      <c r="J8" s="15">
        <v>26.9</v>
      </c>
      <c r="K8" s="14">
        <v>12.3</v>
      </c>
      <c r="L8" s="58">
        <f t="shared" si="0"/>
        <v>0.45724907063197029</v>
      </c>
      <c r="M8" s="61">
        <v>42659</v>
      </c>
      <c r="N8" s="82">
        <v>0.83564814814814825</v>
      </c>
      <c r="O8" s="103">
        <f t="shared" si="1"/>
        <v>9.3731481481445371</v>
      </c>
      <c r="P8" s="34">
        <f>VLOOKUP($B8,'Raw Gamma CPM'!$B:$AB,15,FALSE)*Standards!$H$23/(VLOOKUP($B8,'Tissue Mass'!$B:$AB,15,FALSE))</f>
        <v>0.17735172718338674</v>
      </c>
      <c r="Q8" s="16">
        <f>VLOOKUP($B8,'Raw Gamma CPM'!$B:$AB,16,FALSE)*Standards!$H$23/(VLOOKUP($B8,'Tissue Mass'!$B:$AB,16,FALSE))</f>
        <v>7.7366136693907572E-2</v>
      </c>
      <c r="R8" s="16">
        <f>VLOOKUP($B8,'Raw Gamma CPM'!$B:$AB,17,FALSE)*Standards!$H$23/(VLOOKUP($B8,'Tissue Mass'!$B:$AB,17,FALSE))</f>
        <v>6.0231186308850977E-3</v>
      </c>
      <c r="S8" s="16">
        <f>VLOOKUP($B8,'Raw Gamma CPM'!$B:$AB,18,FALSE)*Standards!$H$23/(VLOOKUP($B8,'Tissue Mass'!$B:$AB,18,FALSE))</f>
        <v>8.8108591103434469E-2</v>
      </c>
      <c r="T8" s="16">
        <f>VLOOKUP($B8,'Raw Gamma CPM'!$B:$AB,19,FALSE)*Standards!$H$23/(VLOOKUP($B8,'Tissue Mass'!$B:$AB,19,FALSE))</f>
        <v>0.23650895494484508</v>
      </c>
      <c r="U8" s="16">
        <f>VLOOKUP($B8,'Raw Gamma CPM'!$B:$AB,20,FALSE)*Standards!$H$23/(VLOOKUP($B8,'Tissue Mass'!$B:$AB,20,FALSE))</f>
        <v>0.17898210126388098</v>
      </c>
      <c r="V8" s="16">
        <f>VLOOKUP($B8,'Raw Gamma CPM'!$B:$AB,21,FALSE)*Standards!$H$23/(VLOOKUP($B8,'Tissue Mass'!$B:$AB,21,FALSE))</f>
        <v>4.1424363423854702</v>
      </c>
      <c r="W8" s="16"/>
      <c r="X8" s="16">
        <f>VLOOKUP($B8,'Raw Gamma CPM'!$B:$AB,23,FALSE)*Standards!$H$23/(VLOOKUP($B8,'Tissue Mass'!$B:$AB,23,FALSE))</f>
        <v>4.2341919346435057</v>
      </c>
      <c r="Y8" s="16">
        <f>VLOOKUP($B8,'Raw Gamma CPM'!$B:$AB,24,FALSE)*Standards!$H$23/(VLOOKUP($B8,'Tissue Mass'!$B:$AB,24,FALSE))</f>
        <v>1.3047220935470309</v>
      </c>
      <c r="Z8" s="16">
        <f>VLOOKUP($B8,'Raw Gamma CPM'!$B:$AB,25,FALSE)*Standards!$H$23/(VLOOKUP($B8,'Tissue Mass'!$B:$AB,25,FALSE))</f>
        <v>0.30305904956644136</v>
      </c>
      <c r="AA8" s="16">
        <f>VLOOKUP($B8,'Raw Gamma CPM'!$B:$AB,26,FALSE)*Standards!$H$23/(VLOOKUP($B8,'Tissue Mass'!$B:$AB,26,FALSE))</f>
        <v>0.205812497131136</v>
      </c>
      <c r="AB8" s="22">
        <f>VLOOKUP($B8,'Raw Gamma CPM'!$B:$AB,27,FALSE)*Standards!$H$23/(VLOOKUP($B8,'Tissue Mass'!$B:$AB,27,FALSE))</f>
        <v>0.19566410171272397</v>
      </c>
    </row>
    <row r="9" spans="2:28" x14ac:dyDescent="0.25">
      <c r="B9" s="21">
        <v>41</v>
      </c>
      <c r="C9" s="12">
        <v>42650</v>
      </c>
      <c r="D9" s="56">
        <v>0.60138888888888886</v>
      </c>
      <c r="E9" s="13">
        <v>24</v>
      </c>
      <c r="F9" s="15">
        <v>103.7</v>
      </c>
      <c r="G9" s="12">
        <v>42651</v>
      </c>
      <c r="H9" s="14">
        <v>31.1</v>
      </c>
      <c r="I9" s="99" t="s">
        <v>35</v>
      </c>
      <c r="J9" s="15">
        <v>92.9</v>
      </c>
      <c r="K9" s="14">
        <v>80</v>
      </c>
      <c r="L9" s="58">
        <f t="shared" si="0"/>
        <v>0.86114101184068881</v>
      </c>
      <c r="M9" s="61">
        <v>42659</v>
      </c>
      <c r="N9" s="82">
        <v>0.89684027777777775</v>
      </c>
      <c r="O9" s="103">
        <f t="shared" si="1"/>
        <v>9.2954513888835208</v>
      </c>
      <c r="P9" s="34">
        <f>VLOOKUP($B9,'Raw Gamma CPM'!$B:$AB,15,FALSE)*Standards!$H$23/(VLOOKUP($B9,'Tissue Mass'!$B:$AB,15,FALSE))</f>
        <v>2.2186732594211583E-2</v>
      </c>
      <c r="Q9" s="16">
        <f>VLOOKUP($B9,'Raw Gamma CPM'!$B:$AB,16,FALSE)*Standards!$H$23/(VLOOKUP($B9,'Tissue Mass'!$B:$AB,16,FALSE))</f>
        <v>0.17971058343799315</v>
      </c>
      <c r="R9" s="16">
        <f>VLOOKUP($B9,'Raw Gamma CPM'!$B:$AB,17,FALSE)*Standards!$H$23/(VLOOKUP($B9,'Tissue Mass'!$B:$AB,17,FALSE))</f>
        <v>0.39969229338053641</v>
      </c>
      <c r="S9" s="16">
        <f>VLOOKUP($B9,'Raw Gamma CPM'!$B:$AB,18,FALSE)*Standards!$H$23/(VLOOKUP($B9,'Tissue Mass'!$B:$AB,18,FALSE))</f>
        <v>8.5706228270326715E-2</v>
      </c>
      <c r="T9" s="16">
        <f>VLOOKUP($B9,'Raw Gamma CPM'!$B:$AB,19,FALSE)*Standards!$H$23/(VLOOKUP($B9,'Tissue Mass'!$B:$AB,19,FALSE))</f>
        <v>0.18980065376438165</v>
      </c>
      <c r="U9" s="16">
        <f>VLOOKUP($B9,'Raw Gamma CPM'!$B:$AB,20,FALSE)*Standards!$H$23/(VLOOKUP($B9,'Tissue Mass'!$B:$AB,20,FALSE))</f>
        <v>5.2187861995634896E-2</v>
      </c>
      <c r="V9" s="16">
        <f>VLOOKUP($B9,'Raw Gamma CPM'!$B:$AB,21,FALSE)*Standards!$H$23/(VLOOKUP($B9,'Tissue Mass'!$B:$AB,21,FALSE))</f>
        <v>4.0021296937541981</v>
      </c>
      <c r="W9" s="16"/>
      <c r="X9" s="16">
        <f>VLOOKUP($B9,'Raw Gamma CPM'!$B:$AB,23,FALSE)*Standards!$H$23/(VLOOKUP($B9,'Tissue Mass'!$B:$AB,23,FALSE))</f>
        <v>1.3773711175706653</v>
      </c>
      <c r="Y9" s="16">
        <f>VLOOKUP($B9,'Raw Gamma CPM'!$B:$AB,24,FALSE)*Standards!$H$23/(VLOOKUP($B9,'Tissue Mass'!$B:$AB,24,FALSE))</f>
        <v>0.92728162522413082</v>
      </c>
      <c r="Z9" s="16">
        <f>VLOOKUP($B9,'Raw Gamma CPM'!$B:$AB,25,FALSE)*Standards!$H$23/(VLOOKUP($B9,'Tissue Mass'!$B:$AB,25,FALSE))</f>
        <v>6.1559247237254026E-2</v>
      </c>
      <c r="AA9" s="16">
        <f>VLOOKUP($B9,'Raw Gamma CPM'!$B:$AB,26,FALSE)*Standards!$H$23/(VLOOKUP($B9,'Tissue Mass'!$B:$AB,26,FALSE))</f>
        <v>0.15086468793428537</v>
      </c>
      <c r="AB9" s="22">
        <f>VLOOKUP($B9,'Raw Gamma CPM'!$B:$AB,27,FALSE)*Standards!$H$23/(VLOOKUP($B9,'Tissue Mass'!$B:$AB,27,FALSE))</f>
        <v>0.50125254317019841</v>
      </c>
    </row>
    <row r="10" spans="2:28" x14ac:dyDescent="0.25">
      <c r="B10" s="21">
        <v>42</v>
      </c>
      <c r="C10" s="12">
        <v>42650</v>
      </c>
      <c r="D10" s="56">
        <v>0.61388888888888882</v>
      </c>
      <c r="E10" s="13">
        <v>24</v>
      </c>
      <c r="F10" s="15">
        <v>33.700000000000003</v>
      </c>
      <c r="G10" s="12">
        <v>42651</v>
      </c>
      <c r="H10" s="14">
        <v>29.6</v>
      </c>
      <c r="I10" s="99" t="s">
        <v>35</v>
      </c>
      <c r="J10" s="15">
        <v>21.7</v>
      </c>
      <c r="K10" s="14">
        <v>16.600000000000001</v>
      </c>
      <c r="L10" s="58">
        <f t="shared" si="0"/>
        <v>0.76497695852534575</v>
      </c>
      <c r="M10" s="61">
        <v>42659</v>
      </c>
      <c r="N10" s="82">
        <v>0.90100694444444451</v>
      </c>
      <c r="O10" s="103">
        <f t="shared" si="1"/>
        <v>9.2871180555521278</v>
      </c>
      <c r="P10" s="34">
        <f>VLOOKUP($B10,'Raw Gamma CPM'!$B:$AB,15,FALSE)*Standards!$H$23/(VLOOKUP($B10,'Tissue Mass'!$B:$AB,15,FALSE))</f>
        <v>2.8416662033166572E-2</v>
      </c>
      <c r="Q10" s="16">
        <f>VLOOKUP($B10,'Raw Gamma CPM'!$B:$AB,16,FALSE)*Standards!$H$23/(VLOOKUP($B10,'Tissue Mass'!$B:$AB,16,FALSE))</f>
        <v>3.3237903595289574E-2</v>
      </c>
      <c r="R10" s="16">
        <f>VLOOKUP($B10,'Raw Gamma CPM'!$B:$AB,17,FALSE)*Standards!$H$23/(VLOOKUP($B10,'Tissue Mass'!$B:$AB,17,FALSE))</f>
        <v>2.2199702623260872E-2</v>
      </c>
      <c r="S10" s="16">
        <f>VLOOKUP($B10,'Raw Gamma CPM'!$B:$AB,18,FALSE)*Standards!$H$23/(VLOOKUP($B10,'Tissue Mass'!$B:$AB,18,FALSE))</f>
        <v>1.8696939831644419E-2</v>
      </c>
      <c r="T10" s="16">
        <f>VLOOKUP($B10,'Raw Gamma CPM'!$B:$AB,19,FALSE)*Standards!$H$23/(VLOOKUP($B10,'Tissue Mass'!$B:$AB,19,FALSE))</f>
        <v>4.7445892321154377E-2</v>
      </c>
      <c r="U10" s="16">
        <f>VLOOKUP($B10,'Raw Gamma CPM'!$B:$AB,20,FALSE)*Standards!$H$23/(VLOOKUP($B10,'Tissue Mass'!$B:$AB,20,FALSE))</f>
        <v>9.4024596907893138E-2</v>
      </c>
      <c r="V10" s="16">
        <f>VLOOKUP($B10,'Raw Gamma CPM'!$B:$AB,21,FALSE)*Standards!$H$23/(VLOOKUP($B10,'Tissue Mass'!$B:$AB,21,FALSE))</f>
        <v>2.2718166059602614</v>
      </c>
      <c r="W10" s="16"/>
      <c r="X10" s="16">
        <f>VLOOKUP($B10,'Raw Gamma CPM'!$B:$AB,23,FALSE)*Standards!$H$23/(VLOOKUP($B10,'Tissue Mass'!$B:$AB,23,FALSE))</f>
        <v>2.7911219231304516</v>
      </c>
      <c r="Y10" s="16">
        <f>VLOOKUP($B10,'Raw Gamma CPM'!$B:$AB,24,FALSE)*Standards!$H$23/(VLOOKUP($B10,'Tissue Mass'!$B:$AB,24,FALSE))</f>
        <v>0.85636047329893017</v>
      </c>
      <c r="Z10" s="16">
        <f>VLOOKUP($B10,'Raw Gamma CPM'!$B:$AB,25,FALSE)*Standards!$H$23/(VLOOKUP($B10,'Tissue Mass'!$B:$AB,25,FALSE))</f>
        <v>0.13132383833070363</v>
      </c>
      <c r="AA10" s="16">
        <f>VLOOKUP($B10,'Raw Gamma CPM'!$B:$AB,26,FALSE)*Standards!$H$23/(VLOOKUP($B10,'Tissue Mass'!$B:$AB,26,FALSE))</f>
        <v>5.4549327235394171E-2</v>
      </c>
      <c r="AB10" s="22">
        <f>VLOOKUP($B10,'Raw Gamma CPM'!$B:$AB,27,FALSE)*Standards!$H$23/(VLOOKUP($B10,'Tissue Mass'!$B:$AB,27,FALSE))</f>
        <v>8.9538790435384347E-2</v>
      </c>
    </row>
    <row r="11" spans="2:28" x14ac:dyDescent="0.25">
      <c r="B11" s="21">
        <v>51</v>
      </c>
      <c r="C11" s="12">
        <v>42650</v>
      </c>
      <c r="D11" s="56">
        <v>0.66041666666666665</v>
      </c>
      <c r="E11" s="13">
        <v>24</v>
      </c>
      <c r="F11" s="15">
        <v>154</v>
      </c>
      <c r="G11" s="12">
        <v>42651</v>
      </c>
      <c r="H11" s="14">
        <v>26.6</v>
      </c>
      <c r="I11" s="99" t="s">
        <v>35</v>
      </c>
      <c r="J11" s="15">
        <v>134.69999999999999</v>
      </c>
      <c r="K11" s="14">
        <v>133.6</v>
      </c>
      <c r="L11" s="58">
        <f t="shared" si="0"/>
        <v>0.99183370452858211</v>
      </c>
      <c r="M11" s="61">
        <v>42659</v>
      </c>
      <c r="N11" s="82">
        <v>0.90517361111111105</v>
      </c>
      <c r="O11" s="103">
        <f t="shared" si="1"/>
        <v>9.2447569444484543</v>
      </c>
      <c r="P11" s="34">
        <f>VLOOKUP($B11,'Raw Gamma CPM'!$B:$AB,15,FALSE)*Standards!$H$23/(VLOOKUP($B11,'Tissue Mass'!$B:$AB,15,FALSE))</f>
        <v>6.3532356014122465E-2</v>
      </c>
      <c r="Q11" s="16">
        <f>VLOOKUP($B11,'Raw Gamma CPM'!$B:$AB,16,FALSE)*Standards!$H$23/(VLOOKUP($B11,'Tissue Mass'!$B:$AB,16,FALSE))</f>
        <v>5.026384779456463E-2</v>
      </c>
      <c r="R11" s="16">
        <f>VLOOKUP($B11,'Raw Gamma CPM'!$B:$AB,17,FALSE)*Standards!$H$23/(VLOOKUP($B11,'Tissue Mass'!$B:$AB,17,FALSE))</f>
        <v>5.2855629810719422E-3</v>
      </c>
      <c r="S11" s="16">
        <f>VLOOKUP($B11,'Raw Gamma CPM'!$B:$AB,18,FALSE)*Standards!$H$23/(VLOOKUP($B11,'Tissue Mass'!$B:$AB,18,FALSE))</f>
        <v>3.9103124056446899E-2</v>
      </c>
      <c r="T11" s="16">
        <f>VLOOKUP($B11,'Raw Gamma CPM'!$B:$AB,19,FALSE)*Standards!$H$23/(VLOOKUP($B11,'Tissue Mass'!$B:$AB,19,FALSE))</f>
        <v>6.8162983721393053E-2</v>
      </c>
      <c r="U11" s="16">
        <f>VLOOKUP($B11,'Raw Gamma CPM'!$B:$AB,20,FALSE)*Standards!$H$23/(VLOOKUP($B11,'Tissue Mass'!$B:$AB,20,FALSE))</f>
        <v>0.25827476074549616</v>
      </c>
      <c r="V11" s="16">
        <f>VLOOKUP($B11,'Raw Gamma CPM'!$B:$AB,21,FALSE)*Standards!$H$23/(VLOOKUP($B11,'Tissue Mass'!$B:$AB,21,FALSE))</f>
        <v>0.38936001959076588</v>
      </c>
      <c r="W11" s="16"/>
      <c r="X11" s="16">
        <f>VLOOKUP($B11,'Raw Gamma CPM'!$B:$AB,23,FALSE)*Standards!$H$23/(VLOOKUP($B11,'Tissue Mass'!$B:$AB,23,FALSE))</f>
        <v>1.4887208080408105</v>
      </c>
      <c r="Y11" s="16">
        <f>VLOOKUP($B11,'Raw Gamma CPM'!$B:$AB,24,FALSE)*Standards!$H$23/(VLOOKUP($B11,'Tissue Mass'!$B:$AB,24,FALSE))</f>
        <v>0.4255132639861321</v>
      </c>
      <c r="Z11" s="16">
        <f>VLOOKUP($B11,'Raw Gamma CPM'!$B:$AB,25,FALSE)*Standards!$H$23/(VLOOKUP($B11,'Tissue Mass'!$B:$AB,25,FALSE))</f>
        <v>0.13604763311005025</v>
      </c>
      <c r="AA11" s="16">
        <f>VLOOKUP($B11,'Raw Gamma CPM'!$B:$AB,26,FALSE)*Standards!$H$23/(VLOOKUP($B11,'Tissue Mass'!$B:$AB,26,FALSE))</f>
        <v>4.6423572542089918E-2</v>
      </c>
      <c r="AB11" s="22">
        <f>VLOOKUP($B11,'Raw Gamma CPM'!$B:$AB,27,FALSE)*Standards!$H$23/(VLOOKUP($B11,'Tissue Mass'!$B:$AB,27,FALSE))</f>
        <v>0.34114107268561256</v>
      </c>
    </row>
    <row r="12" spans="2:28" x14ac:dyDescent="0.25">
      <c r="B12" s="21">
        <v>52</v>
      </c>
      <c r="C12" s="12">
        <v>42650</v>
      </c>
      <c r="D12" s="56">
        <v>0.67222222222222217</v>
      </c>
      <c r="E12" s="13">
        <v>24</v>
      </c>
      <c r="F12" s="15">
        <v>207</v>
      </c>
      <c r="G12" s="12">
        <v>42651</v>
      </c>
      <c r="H12" s="14">
        <v>28.2</v>
      </c>
      <c r="I12" s="99" t="s">
        <v>35</v>
      </c>
      <c r="J12" s="15">
        <v>159.69999999999999</v>
      </c>
      <c r="K12" s="14">
        <v>82.5</v>
      </c>
      <c r="L12" s="58">
        <f t="shared" si="0"/>
        <v>0.51659361302442086</v>
      </c>
      <c r="M12" s="61">
        <v>42659</v>
      </c>
      <c r="N12" s="82">
        <v>0.90934027777777782</v>
      </c>
      <c r="O12" s="103">
        <f t="shared" si="1"/>
        <v>9.2371180555564933</v>
      </c>
      <c r="P12" s="34">
        <f>VLOOKUP($B12,'Raw Gamma CPM'!$B:$AB,15,FALSE)*Standards!$H$23/(VLOOKUP($B12,'Tissue Mass'!$B:$AB,15,FALSE))</f>
        <v>0.18750927355907415</v>
      </c>
      <c r="Q12" s="16">
        <f>VLOOKUP($B12,'Raw Gamma CPM'!$B:$AB,16,FALSE)*Standards!$H$23/(VLOOKUP($B12,'Tissue Mass'!$B:$AB,16,FALSE))</f>
        <v>0.19590918804120297</v>
      </c>
      <c r="R12" s="16">
        <f>VLOOKUP($B12,'Raw Gamma CPM'!$B:$AB,17,FALSE)*Standards!$H$23/(VLOOKUP($B12,'Tissue Mass'!$B:$AB,17,FALSE))</f>
        <v>3.8220496474286693E-2</v>
      </c>
      <c r="S12" s="16">
        <f>VLOOKUP($B12,'Raw Gamma CPM'!$B:$AB,18,FALSE)*Standards!$H$23/(VLOOKUP($B12,'Tissue Mass'!$B:$AB,18,FALSE))</f>
        <v>9.8655202992832355E-2</v>
      </c>
      <c r="T12" s="16">
        <f>VLOOKUP($B12,'Raw Gamma CPM'!$B:$AB,19,FALSE)*Standards!$H$23/(VLOOKUP($B12,'Tissue Mass'!$B:$AB,19,FALSE))</f>
        <v>0.14093298390488043</v>
      </c>
      <c r="U12" s="16">
        <f>VLOOKUP($B12,'Raw Gamma CPM'!$B:$AB,20,FALSE)*Standards!$H$23/(VLOOKUP($B12,'Tissue Mass'!$B:$AB,20,FALSE))</f>
        <v>0.14285315537406759</v>
      </c>
      <c r="V12" s="16">
        <f>VLOOKUP($B12,'Raw Gamma CPM'!$B:$AB,21,FALSE)*Standards!$H$23/(VLOOKUP($B12,'Tissue Mass'!$B:$AB,21,FALSE))</f>
        <v>0.72158708726019782</v>
      </c>
      <c r="W12" s="16"/>
      <c r="X12" s="16">
        <f>VLOOKUP($B12,'Raw Gamma CPM'!$B:$AB,23,FALSE)*Standards!$H$23/(VLOOKUP($B12,'Tissue Mass'!$B:$AB,23,FALSE))</f>
        <v>7.2486700931927039</v>
      </c>
      <c r="Y12" s="16">
        <f>VLOOKUP($B12,'Raw Gamma CPM'!$B:$AB,24,FALSE)*Standards!$H$23/(VLOOKUP($B12,'Tissue Mass'!$B:$AB,24,FALSE))</f>
        <v>11.729386787997461</v>
      </c>
      <c r="Z12" s="16">
        <f>VLOOKUP($B12,'Raw Gamma CPM'!$B:$AB,25,FALSE)*Standards!$H$23/(VLOOKUP($B12,'Tissue Mass'!$B:$AB,25,FALSE))</f>
        <v>0.22053157943379442</v>
      </c>
      <c r="AA12" s="16">
        <f>VLOOKUP($B12,'Raw Gamma CPM'!$B:$AB,26,FALSE)*Standards!$H$23/(VLOOKUP($B12,'Tissue Mass'!$B:$AB,26,FALSE))</f>
        <v>0.70170958053974475</v>
      </c>
      <c r="AB12" s="22">
        <f>VLOOKUP($B12,'Raw Gamma CPM'!$B:$AB,27,FALSE)*Standards!$H$23/(VLOOKUP($B12,'Tissue Mass'!$B:$AB,27,FALSE))</f>
        <v>0.72578025200437468</v>
      </c>
    </row>
    <row r="13" spans="2:28" x14ac:dyDescent="0.25">
      <c r="B13" s="21">
        <v>22</v>
      </c>
      <c r="C13" s="12">
        <v>42650</v>
      </c>
      <c r="D13" s="56">
        <v>0.48541666666666666</v>
      </c>
      <c r="E13" s="13">
        <v>48</v>
      </c>
      <c r="F13" s="15">
        <v>10</v>
      </c>
      <c r="G13" s="12">
        <v>42652</v>
      </c>
      <c r="H13" s="14">
        <v>30.8</v>
      </c>
      <c r="I13" s="99" t="s">
        <v>35</v>
      </c>
      <c r="J13" s="15">
        <v>1.9</v>
      </c>
      <c r="K13" s="14">
        <v>1.1000000000000001</v>
      </c>
      <c r="L13" s="58">
        <f t="shared" si="0"/>
        <v>0.57894736842105265</v>
      </c>
      <c r="M13" s="61">
        <v>42659</v>
      </c>
      <c r="N13" s="82">
        <v>0.93465277777777767</v>
      </c>
      <c r="O13" s="103">
        <f t="shared" si="1"/>
        <v>9.4492361111042555</v>
      </c>
      <c r="P13" s="34">
        <f>VLOOKUP($B13,'Raw Gamma CPM'!$B:$AB,15,FALSE)*Standards!$H$23/(VLOOKUP($B13,'Tissue Mass'!$B:$AB,15,FALSE))</f>
        <v>4.187085886495274E-3</v>
      </c>
      <c r="Q13" s="16">
        <f>VLOOKUP($B13,'Raw Gamma CPM'!$B:$AB,16,FALSE)*Standards!$H$23/(VLOOKUP($B13,'Tissue Mass'!$B:$AB,16,FALSE))</f>
        <v>2.4372704912447005E-2</v>
      </c>
      <c r="R13" s="16">
        <f>VLOOKUP($B13,'Raw Gamma CPM'!$B:$AB,17,FALSE)*Standards!$H$23/(VLOOKUP($B13,'Tissue Mass'!$B:$AB,17,FALSE))</f>
        <v>8.1899869279073549E-3</v>
      </c>
      <c r="S13" s="16">
        <f>VLOOKUP($B13,'Raw Gamma CPM'!$B:$AB,18,FALSE)*Standards!$H$23/(VLOOKUP($B13,'Tissue Mass'!$B:$AB,18,FALSE))</f>
        <v>4.3023233720200973E-3</v>
      </c>
      <c r="T13" s="16">
        <f>VLOOKUP($B13,'Raw Gamma CPM'!$B:$AB,19,FALSE)*Standards!$H$23/(VLOOKUP($B13,'Tissue Mass'!$B:$AB,19,FALSE))</f>
        <v>9.9636477033634759E-3</v>
      </c>
      <c r="U13" s="16">
        <f>VLOOKUP($B13,'Raw Gamma CPM'!$B:$AB,20,FALSE)*Standards!$H$23/(VLOOKUP($B13,'Tissue Mass'!$B:$AB,20,FALSE))</f>
        <v>2.3843758144562386E-2</v>
      </c>
      <c r="V13" s="16">
        <f>VLOOKUP($B13,'Raw Gamma CPM'!$B:$AB,21,FALSE)*Standards!$H$23/(VLOOKUP($B13,'Tissue Mass'!$B:$AB,21,FALSE))</f>
        <v>0.65487595416010769</v>
      </c>
      <c r="W13" s="16"/>
      <c r="X13" s="16">
        <f>VLOOKUP($B13,'Raw Gamma CPM'!$B:$AB,23,FALSE)*Standards!$H$23/(VLOOKUP($B13,'Tissue Mass'!$B:$AB,23,FALSE))</f>
        <v>0.4113114868646458</v>
      </c>
      <c r="Y13" s="16">
        <f>VLOOKUP($B13,'Raw Gamma CPM'!$B:$AB,24,FALSE)*Standards!$H$23/(VLOOKUP($B13,'Tissue Mass'!$B:$AB,24,FALSE))</f>
        <v>6.4799556827891083E-2</v>
      </c>
      <c r="Z13" s="16">
        <f>VLOOKUP($B13,'Raw Gamma CPM'!$B:$AB,25,FALSE)*Standards!$H$23/(VLOOKUP($B13,'Tissue Mass'!$B:$AB,25,FALSE))</f>
        <v>1.9924200173773124E-2</v>
      </c>
      <c r="AA13" s="16">
        <f>VLOOKUP($B13,'Raw Gamma CPM'!$B:$AB,26,FALSE)*Standards!$H$23/(VLOOKUP($B13,'Tissue Mass'!$B:$AB,26,FALSE))</f>
        <v>1.3411287449106666E-2</v>
      </c>
      <c r="AB13" s="22">
        <f>VLOOKUP($B13,'Raw Gamma CPM'!$B:$AB,27,FALSE)*Standards!$H$23/(VLOOKUP($B13,'Tissue Mass'!$B:$AB,27,FALSE))</f>
        <v>8.7059679172385267E-3</v>
      </c>
    </row>
    <row r="14" spans="2:28" x14ac:dyDescent="0.25">
      <c r="B14" s="21">
        <v>24</v>
      </c>
      <c r="C14" s="12">
        <v>42650</v>
      </c>
      <c r="D14" s="56">
        <v>0.50972222222222219</v>
      </c>
      <c r="E14" s="13">
        <v>48</v>
      </c>
      <c r="F14" s="15">
        <v>69</v>
      </c>
      <c r="G14" s="12">
        <v>42652</v>
      </c>
      <c r="H14" s="14">
        <v>27.8</v>
      </c>
      <c r="I14" s="99" t="s">
        <v>35</v>
      </c>
      <c r="J14" s="15">
        <v>46.7</v>
      </c>
      <c r="K14" s="14">
        <v>45</v>
      </c>
      <c r="L14" s="58">
        <f t="shared" si="0"/>
        <v>0.9635974304068522</v>
      </c>
      <c r="M14" s="61">
        <v>42659</v>
      </c>
      <c r="N14" s="82">
        <v>0.93881944444444443</v>
      </c>
      <c r="O14" s="103">
        <f t="shared" si="1"/>
        <v>9.4290972222224809</v>
      </c>
      <c r="P14" s="34">
        <f>VLOOKUP($B14,'Raw Gamma CPM'!$B:$AB,15,FALSE)*Standards!$H$23/(VLOOKUP($B14,'Tissue Mass'!$B:$AB,15,FALSE))</f>
        <v>1.8416906672684759E-2</v>
      </c>
      <c r="Q14" s="16">
        <f>VLOOKUP($B14,'Raw Gamma CPM'!$B:$AB,16,FALSE)*Standards!$H$23/(VLOOKUP($B14,'Tissue Mass'!$B:$AB,16,FALSE))</f>
        <v>1.270289099343774E-2</v>
      </c>
      <c r="R14" s="16">
        <f>VLOOKUP($B14,'Raw Gamma CPM'!$B:$AB,17,FALSE)*Standards!$H$23/(VLOOKUP($B14,'Tissue Mass'!$B:$AB,17,FALSE))</f>
        <v>5.5711654977930042E-3</v>
      </c>
      <c r="S14" s="16">
        <f>VLOOKUP($B14,'Raw Gamma CPM'!$B:$AB,18,FALSE)*Standards!$H$23/(VLOOKUP($B14,'Tissue Mass'!$B:$AB,18,FALSE))</f>
        <v>1.2226770796961104E-2</v>
      </c>
      <c r="T14" s="16">
        <f>VLOOKUP($B14,'Raw Gamma CPM'!$B:$AB,19,FALSE)*Standards!$H$23/(VLOOKUP($B14,'Tissue Mass'!$B:$AB,19,FALSE))</f>
        <v>1.9922978391459858E-2</v>
      </c>
      <c r="U14" s="16">
        <f>VLOOKUP($B14,'Raw Gamma CPM'!$B:$AB,20,FALSE)*Standards!$H$23/(VLOOKUP($B14,'Tissue Mass'!$B:$AB,20,FALSE))</f>
        <v>1.8929607453715986E-2</v>
      </c>
      <c r="V14" s="16">
        <f>VLOOKUP($B14,'Raw Gamma CPM'!$B:$AB,21,FALSE)*Standards!$H$23/(VLOOKUP($B14,'Tissue Mass'!$B:$AB,21,FALSE))</f>
        <v>5.9877517790753808E-2</v>
      </c>
      <c r="W14" s="16"/>
      <c r="X14" s="16">
        <f>VLOOKUP($B14,'Raw Gamma CPM'!$B:$AB,23,FALSE)*Standards!$H$23/(VLOOKUP($B14,'Tissue Mass'!$B:$AB,23,FALSE))</f>
        <v>2.540197486114578</v>
      </c>
      <c r="Y14" s="16">
        <f>VLOOKUP($B14,'Raw Gamma CPM'!$B:$AB,24,FALSE)*Standards!$H$23/(VLOOKUP($B14,'Tissue Mass'!$B:$AB,24,FALSE))</f>
        <v>0.17631960255219797</v>
      </c>
      <c r="Z14" s="16">
        <f>VLOOKUP($B14,'Raw Gamma CPM'!$B:$AB,25,FALSE)*Standards!$H$23/(VLOOKUP($B14,'Tissue Mass'!$B:$AB,25,FALSE))</f>
        <v>0.12806663804554896</v>
      </c>
      <c r="AA14" s="16">
        <f>VLOOKUP($B14,'Raw Gamma CPM'!$B:$AB,26,FALSE)*Standards!$H$23/(VLOOKUP($B14,'Tissue Mass'!$B:$AB,26,FALSE))</f>
        <v>1.5696801561131204E-2</v>
      </c>
      <c r="AB14" s="22">
        <f>VLOOKUP($B14,'Raw Gamma CPM'!$B:$AB,27,FALSE)*Standards!$H$23/(VLOOKUP($B14,'Tissue Mass'!$B:$AB,27,FALSE))</f>
        <v>2.5290350819976142E-2</v>
      </c>
    </row>
    <row r="15" spans="2:28" x14ac:dyDescent="0.25">
      <c r="B15" s="21">
        <v>25</v>
      </c>
      <c r="C15" s="12">
        <v>42650</v>
      </c>
      <c r="D15" s="56">
        <v>0.52013888888888882</v>
      </c>
      <c r="E15" s="13">
        <v>48</v>
      </c>
      <c r="F15" s="17">
        <v>1.1000000000000001</v>
      </c>
      <c r="G15" s="12">
        <v>42652</v>
      </c>
      <c r="H15" s="14">
        <v>29.1</v>
      </c>
      <c r="I15" s="99" t="s">
        <v>35</v>
      </c>
      <c r="J15" s="17">
        <v>0.22</v>
      </c>
      <c r="K15" s="14">
        <v>0.19</v>
      </c>
      <c r="L15" s="58">
        <f t="shared" si="0"/>
        <v>0.86363636363636365</v>
      </c>
      <c r="M15" s="61">
        <v>42659</v>
      </c>
      <c r="N15" s="82">
        <v>0.94298611111111119</v>
      </c>
      <c r="O15" s="103">
        <f t="shared" si="1"/>
        <v>9.4228472222239361</v>
      </c>
      <c r="P15" s="34">
        <f>VLOOKUP($B15,'Raw Gamma CPM'!$B:$AB,15,FALSE)*Standards!$H$23/(VLOOKUP($B15,'Tissue Mass'!$B:$AB,15,FALSE))</f>
        <v>5.7396976202184029E-4</v>
      </c>
      <c r="Q15" s="16">
        <f>VLOOKUP($B15,'Raw Gamma CPM'!$B:$AB,16,FALSE)*Standards!$H$23/(VLOOKUP($B15,'Tissue Mass'!$B:$AB,16,FALSE))</f>
        <v>2.3189712738569831E-3</v>
      </c>
      <c r="R15" s="16">
        <f>VLOOKUP($B15,'Raw Gamma CPM'!$B:$AB,17,FALSE)*Standards!$H$23/(VLOOKUP($B15,'Tissue Mass'!$B:$AB,17,FALSE))</f>
        <v>6.2277671457471789E-2</v>
      </c>
      <c r="S15" s="16">
        <f>VLOOKUP($B15,'Raw Gamma CPM'!$B:$AB,18,FALSE)*Standards!$H$23/(VLOOKUP($B15,'Tissue Mass'!$B:$AB,18,FALSE))</f>
        <v>9.8443404433895998E-4</v>
      </c>
      <c r="T15" s="16">
        <f>VLOOKUP($B15,'Raw Gamma CPM'!$B:$AB,19,FALSE)*Standards!$H$23/(VLOOKUP($B15,'Tissue Mass'!$B:$AB,19,FALSE))</f>
        <v>3.1884753305487421E-3</v>
      </c>
      <c r="U15" s="16">
        <f>VLOOKUP($B15,'Raw Gamma CPM'!$B:$AB,20,FALSE)*Standards!$H$23/(VLOOKUP($B15,'Tissue Mass'!$B:$AB,20,FALSE))</f>
        <v>1.6409030597015477E-3</v>
      </c>
      <c r="V15" s="16">
        <f>VLOOKUP($B15,'Raw Gamma CPM'!$B:$AB,21,FALSE)*Standards!$H$23/(VLOOKUP($B15,'Tissue Mass'!$B:$AB,21,FALSE))</f>
        <v>6.3618286694325397E-3</v>
      </c>
      <c r="W15" s="16"/>
      <c r="X15" s="16">
        <f>VLOOKUP($B15,'Raw Gamma CPM'!$B:$AB,23,FALSE)*Standards!$H$23/(VLOOKUP($B15,'Tissue Mass'!$B:$AB,23,FALSE))</f>
        <v>1.4089380005872577E-2</v>
      </c>
      <c r="Y15" s="16">
        <f>VLOOKUP($B15,'Raw Gamma CPM'!$B:$AB,24,FALSE)*Standards!$H$23/(VLOOKUP($B15,'Tissue Mass'!$B:$AB,24,FALSE))</f>
        <v>1.254629439824E-2</v>
      </c>
      <c r="Z15" s="16">
        <f>VLOOKUP($B15,'Raw Gamma CPM'!$B:$AB,25,FALSE)*Standards!$H$23/(VLOOKUP($B15,'Tissue Mass'!$B:$AB,25,FALSE))</f>
        <v>1.9330138490930284E-3</v>
      </c>
      <c r="AA15" s="16">
        <f>VLOOKUP($B15,'Raw Gamma CPM'!$B:$AB,26,FALSE)*Standards!$H$23/(VLOOKUP($B15,'Tissue Mass'!$B:$AB,26,FALSE))</f>
        <v>1.2032753611172875E-3</v>
      </c>
      <c r="AB15" s="22">
        <f>VLOOKUP($B15,'Raw Gamma CPM'!$B:$AB,27,FALSE)*Standards!$H$23/(VLOOKUP($B15,'Tissue Mass'!$B:$AB,27,FALSE))</f>
        <v>1.7229319721756822E-3</v>
      </c>
    </row>
    <row r="16" spans="2:28" x14ac:dyDescent="0.25">
      <c r="B16" s="21">
        <v>31</v>
      </c>
      <c r="C16" s="12">
        <v>42650</v>
      </c>
      <c r="D16" s="56">
        <v>0.52986111111111112</v>
      </c>
      <c r="E16" s="13">
        <v>48</v>
      </c>
      <c r="F16" s="15">
        <v>115.8</v>
      </c>
      <c r="G16" s="12">
        <v>42652</v>
      </c>
      <c r="H16" s="14">
        <v>27.5</v>
      </c>
      <c r="I16" s="99" t="s">
        <v>35</v>
      </c>
      <c r="J16" s="15">
        <v>90</v>
      </c>
      <c r="K16" s="14">
        <v>89</v>
      </c>
      <c r="L16" s="58">
        <f t="shared" si="0"/>
        <v>0.98888888888888893</v>
      </c>
      <c r="M16" s="61">
        <v>42659</v>
      </c>
      <c r="N16" s="82">
        <v>0.94715277777777773</v>
      </c>
      <c r="O16" s="103">
        <f t="shared" si="1"/>
        <v>9.4172916666648234</v>
      </c>
      <c r="P16" s="34">
        <f>VLOOKUP($B16,'Raw Gamma CPM'!$B:$AB,15,FALSE)*Standards!$H$23/(VLOOKUP($B16,'Tissue Mass'!$B:$AB,15,FALSE))</f>
        <v>1.9062382915678324E-2</v>
      </c>
      <c r="Q16" s="16">
        <f>VLOOKUP($B16,'Raw Gamma CPM'!$B:$AB,16,FALSE)*Standards!$H$23/(VLOOKUP($B16,'Tissue Mass'!$B:$AB,16,FALSE))</f>
        <v>0.13873496875553701</v>
      </c>
      <c r="R16" s="16">
        <f>VLOOKUP($B16,'Raw Gamma CPM'!$B:$AB,17,FALSE)*Standards!$H$23/(VLOOKUP($B16,'Tissue Mass'!$B:$AB,17,FALSE))</f>
        <v>9.1578885677516472E-2</v>
      </c>
      <c r="S16" s="16">
        <f>VLOOKUP($B16,'Raw Gamma CPM'!$B:$AB,18,FALSE)*Standards!$H$23/(VLOOKUP($B16,'Tissue Mass'!$B:$AB,18,FALSE))</f>
        <v>1.6690419959012916E-2</v>
      </c>
      <c r="T16" s="16">
        <f>VLOOKUP($B16,'Raw Gamma CPM'!$B:$AB,19,FALSE)*Standards!$H$23/(VLOOKUP($B16,'Tissue Mass'!$B:$AB,19,FALSE))</f>
        <v>2.9818245916532218E-2</v>
      </c>
      <c r="U16" s="16">
        <f>VLOOKUP($B16,'Raw Gamma CPM'!$B:$AB,20,FALSE)*Standards!$H$23/(VLOOKUP($B16,'Tissue Mass'!$B:$AB,20,FALSE))</f>
        <v>6.5581047391417513E-2</v>
      </c>
      <c r="V16" s="16">
        <f>VLOOKUP($B16,'Raw Gamma CPM'!$B:$AB,21,FALSE)*Standards!$H$23/(VLOOKUP($B16,'Tissue Mass'!$B:$AB,21,FALSE))</f>
        <v>0.16029838271003469</v>
      </c>
      <c r="W16" s="16"/>
      <c r="X16" s="16">
        <f>VLOOKUP($B16,'Raw Gamma CPM'!$B:$AB,23,FALSE)*Standards!$H$23/(VLOOKUP($B16,'Tissue Mass'!$B:$AB,23,FALSE))</f>
        <v>0.1733208195187538</v>
      </c>
      <c r="Y16" s="16">
        <f>VLOOKUP($B16,'Raw Gamma CPM'!$B:$AB,24,FALSE)*Standards!$H$23/(VLOOKUP($B16,'Tissue Mass'!$B:$AB,24,FALSE))</f>
        <v>0.15164628953061607</v>
      </c>
      <c r="Z16" s="16">
        <f>VLOOKUP($B16,'Raw Gamma CPM'!$B:$AB,25,FALSE)*Standards!$H$23/(VLOOKUP($B16,'Tissue Mass'!$B:$AB,25,FALSE))</f>
        <v>6.7226379154481403E-2</v>
      </c>
      <c r="AA16" s="16">
        <f>VLOOKUP($B16,'Raw Gamma CPM'!$B:$AB,26,FALSE)*Standards!$H$23/(VLOOKUP($B16,'Tissue Mass'!$B:$AB,26,FALSE))</f>
        <v>7.8892028403156983E-2</v>
      </c>
      <c r="AB16" s="22">
        <f>VLOOKUP($B16,'Raw Gamma CPM'!$B:$AB,27,FALSE)*Standards!$H$23/(VLOOKUP($B16,'Tissue Mass'!$B:$AB,27,FALSE))</f>
        <v>6.6852443908792289E-2</v>
      </c>
    </row>
    <row r="17" spans="2:29" x14ac:dyDescent="0.25">
      <c r="B17" s="21">
        <v>23</v>
      </c>
      <c r="C17" s="12">
        <v>42650</v>
      </c>
      <c r="D17" s="56">
        <v>0.49652777777777773</v>
      </c>
      <c r="E17" s="13">
        <v>72</v>
      </c>
      <c r="F17" s="15">
        <v>16.2</v>
      </c>
      <c r="G17" s="12">
        <v>42653</v>
      </c>
      <c r="H17" s="14">
        <v>28.2</v>
      </c>
      <c r="I17" s="99" t="s">
        <v>36</v>
      </c>
      <c r="J17" s="15">
        <v>2.2200000000000002</v>
      </c>
      <c r="K17" s="14">
        <v>0.33</v>
      </c>
      <c r="L17" s="58">
        <f t="shared" si="0"/>
        <v>0.14864864864864863</v>
      </c>
      <c r="M17" s="61">
        <v>42659</v>
      </c>
      <c r="N17" s="82">
        <v>0.97086805555555555</v>
      </c>
      <c r="O17" s="103">
        <f t="shared" si="1"/>
        <v>9.4743402777748997</v>
      </c>
      <c r="P17" s="34">
        <f>VLOOKUP($B17,'Raw Gamma CPM'!$B:$AB,15,FALSE)*Standards!$H$23/(VLOOKUP($B17,'Tissue Mass'!$B:$AB,15,FALSE))</f>
        <v>0.1569877953003905</v>
      </c>
      <c r="Q17" s="16">
        <f>VLOOKUP($B17,'Raw Gamma CPM'!$B:$AB,16,FALSE)*Standards!$H$23/(VLOOKUP($B17,'Tissue Mass'!$B:$AB,16,FALSE))</f>
        <v>2.3797961880868568E-3</v>
      </c>
      <c r="R17" s="16">
        <f>VLOOKUP($B17,'Raw Gamma CPM'!$B:$AB,17,FALSE)*Standards!$H$23/(VLOOKUP($B17,'Tissue Mass'!$B:$AB,17,FALSE))</f>
        <v>9.9916207033279043E-3</v>
      </c>
      <c r="S17" s="16">
        <f>VLOOKUP($B17,'Raw Gamma CPM'!$B:$AB,18,FALSE)*Standards!$H$23/(VLOOKUP($B17,'Tissue Mass'!$B:$AB,18,FALSE))</f>
        <v>1.0635553023896889E-2</v>
      </c>
      <c r="T17" s="16">
        <f>VLOOKUP($B17,'Raw Gamma CPM'!$B:$AB,19,FALSE)*Standards!$H$23/(VLOOKUP($B17,'Tissue Mass'!$B:$AB,19,FALSE))</f>
        <v>0.31041681735298432</v>
      </c>
      <c r="U17" s="16">
        <f>VLOOKUP($B17,'Raw Gamma CPM'!$B:$AB,20,FALSE)*Standards!$H$23/(VLOOKUP($B17,'Tissue Mass'!$B:$AB,20,FALSE))</f>
        <v>5.0291703336730982E-3</v>
      </c>
      <c r="V17" s="16">
        <f>VLOOKUP($B17,'Raw Gamma CPM'!$B:$AB,21,FALSE)*Standards!$H$23/(VLOOKUP($B17,'Tissue Mass'!$B:$AB,21,FALSE))</f>
        <v>3.0782723226578774</v>
      </c>
      <c r="W17" s="16"/>
      <c r="X17" s="16">
        <f>VLOOKUP($B17,'Raw Gamma CPM'!$B:$AB,23,FALSE)*Standards!$H$23/(VLOOKUP($B17,'Tissue Mass'!$B:$AB,23,FALSE))</f>
        <v>0.49104173229569853</v>
      </c>
      <c r="Y17" s="16">
        <f>VLOOKUP($B17,'Raw Gamma CPM'!$B:$AB,24,FALSE)*Standards!$H$23/(VLOOKUP($B17,'Tissue Mass'!$B:$AB,24,FALSE))</f>
        <v>1.2047099957934156E-2</v>
      </c>
      <c r="Z17" s="16">
        <f>VLOOKUP($B17,'Raw Gamma CPM'!$B:$AB,25,FALSE)*Standards!$H$23/(VLOOKUP($B17,'Tissue Mass'!$B:$AB,25,FALSE))</f>
        <v>8.7116436463150447E-3</v>
      </c>
      <c r="AA17" s="16">
        <f>VLOOKUP($B17,'Raw Gamma CPM'!$B:$AB,26,FALSE)*Standards!$H$23/(VLOOKUP($B17,'Tissue Mass'!$B:$AB,26,FALSE))</f>
        <v>2.7246696603885401E-2</v>
      </c>
      <c r="AB17" s="22">
        <f>VLOOKUP($B17,'Raw Gamma CPM'!$B:$AB,27,FALSE)*Standards!$H$23/(VLOOKUP($B17,'Tissue Mass'!$B:$AB,27,FALSE))</f>
        <v>3.4240253709243465E-5</v>
      </c>
    </row>
    <row r="18" spans="2:29" x14ac:dyDescent="0.25">
      <c r="B18" s="21">
        <v>44</v>
      </c>
      <c r="C18" s="12">
        <v>42650</v>
      </c>
      <c r="D18" s="56">
        <v>0.63750000000000007</v>
      </c>
      <c r="E18" s="13">
        <v>72</v>
      </c>
      <c r="F18" s="15">
        <v>335</v>
      </c>
      <c r="G18" s="12">
        <v>42653</v>
      </c>
      <c r="H18" s="14">
        <v>32.9</v>
      </c>
      <c r="I18" s="99" t="s">
        <v>35</v>
      </c>
      <c r="J18" s="15">
        <v>207</v>
      </c>
      <c r="K18" s="14">
        <v>177</v>
      </c>
      <c r="L18" s="58">
        <f t="shared" si="0"/>
        <v>0.85507246376811596</v>
      </c>
      <c r="M18" s="61">
        <v>42659</v>
      </c>
      <c r="N18" s="82">
        <v>0.97503472222222232</v>
      </c>
      <c r="O18" s="103">
        <f t="shared" si="1"/>
        <v>9.3375347222245182</v>
      </c>
      <c r="P18" s="34">
        <f>VLOOKUP($B18,'Raw Gamma CPM'!$B:$AB,15,FALSE)*Standards!$H$23/(VLOOKUP($B18,'Tissue Mass'!$B:$AB,15,FALSE))</f>
        <v>3.0067853747943331E-2</v>
      </c>
      <c r="Q18" s="16">
        <f>VLOOKUP($B18,'Raw Gamma CPM'!$B:$AB,16,FALSE)*Standards!$H$23/(VLOOKUP($B18,'Tissue Mass'!$B:$AB,16,FALSE))</f>
        <v>5.8332901245452373E-2</v>
      </c>
      <c r="R18" s="16">
        <f>VLOOKUP($B18,'Raw Gamma CPM'!$B:$AB,17,FALSE)*Standards!$H$23/(VLOOKUP($B18,'Tissue Mass'!$B:$AB,17,FALSE))</f>
        <v>1.6062027184801979E-2</v>
      </c>
      <c r="S18" s="16">
        <f>VLOOKUP($B18,'Raw Gamma CPM'!$B:$AB,18,FALSE)*Standards!$H$23/(VLOOKUP($B18,'Tissue Mass'!$B:$AB,18,FALSE))</f>
        <v>2.8867373328216515E-2</v>
      </c>
      <c r="T18" s="16">
        <f>VLOOKUP($B18,'Raw Gamma CPM'!$B:$AB,19,FALSE)*Standards!$H$23/(VLOOKUP($B18,'Tissue Mass'!$B:$AB,19,FALSE))</f>
        <v>4.7245130071185498E-2</v>
      </c>
      <c r="U18" s="16">
        <f>VLOOKUP($B18,'Raw Gamma CPM'!$B:$AB,20,FALSE)*Standards!$H$23/(VLOOKUP($B18,'Tissue Mass'!$B:$AB,20,FALSE))</f>
        <v>0.12829771468619838</v>
      </c>
      <c r="V18" s="16">
        <f>VLOOKUP($B18,'Raw Gamma CPM'!$B:$AB,21,FALSE)*Standards!$H$23/(VLOOKUP($B18,'Tissue Mass'!$B:$AB,21,FALSE))</f>
        <v>28.762863550623365</v>
      </c>
      <c r="W18" s="16"/>
      <c r="X18" s="16">
        <f>VLOOKUP($B18,'Raw Gamma CPM'!$B:$AB,23,FALSE)*Standards!$H$23/(VLOOKUP($B18,'Tissue Mass'!$B:$AB,23,FALSE))</f>
        <v>20.215878239518691</v>
      </c>
      <c r="Y18" s="16">
        <f>VLOOKUP($B18,'Raw Gamma CPM'!$B:$AB,24,FALSE)*Standards!$H$23/(VLOOKUP($B18,'Tissue Mass'!$B:$AB,24,FALSE))</f>
        <v>3.3238140506401108</v>
      </c>
      <c r="Z18" s="16">
        <f>VLOOKUP($B18,'Raw Gamma CPM'!$B:$AB,25,FALSE)*Standards!$H$23/(VLOOKUP($B18,'Tissue Mass'!$B:$AB,25,FALSE))</f>
        <v>0.44028032459826727</v>
      </c>
      <c r="AA18" s="16">
        <f>VLOOKUP($B18,'Raw Gamma CPM'!$B:$AB,26,FALSE)*Standards!$H$23/(VLOOKUP($B18,'Tissue Mass'!$B:$AB,26,FALSE))</f>
        <v>9.1444257503507723E-2</v>
      </c>
      <c r="AB18" s="22">
        <f>VLOOKUP($B18,'Raw Gamma CPM'!$B:$AB,27,FALSE)*Standards!$H$23/(VLOOKUP($B18,'Tissue Mass'!$B:$AB,27,FALSE))</f>
        <v>5.6555465130798364E-2</v>
      </c>
    </row>
    <row r="19" spans="2:29" x14ac:dyDescent="0.25">
      <c r="B19" s="21">
        <v>45</v>
      </c>
      <c r="C19" s="12">
        <v>42650</v>
      </c>
      <c r="D19" s="56">
        <v>0.64444444444444449</v>
      </c>
      <c r="E19" s="13">
        <v>72</v>
      </c>
      <c r="F19" s="15">
        <v>298</v>
      </c>
      <c r="G19" s="12">
        <v>42653</v>
      </c>
      <c r="H19" s="14">
        <v>30.7</v>
      </c>
      <c r="I19" s="99" t="s">
        <v>35</v>
      </c>
      <c r="J19" s="15">
        <v>200</v>
      </c>
      <c r="K19" s="14">
        <v>197</v>
      </c>
      <c r="L19" s="58">
        <f t="shared" si="0"/>
        <v>0.98499999999999999</v>
      </c>
      <c r="M19" s="61">
        <v>42659</v>
      </c>
      <c r="N19" s="82">
        <v>0.97920138888888886</v>
      </c>
      <c r="O19" s="103">
        <f t="shared" si="1"/>
        <v>9.3347569444449618</v>
      </c>
      <c r="P19" s="34">
        <f>VLOOKUP($B19,'Raw Gamma CPM'!$B:$AB,15,FALSE)*Standards!$H$23/(VLOOKUP($B19,'Tissue Mass'!$B:$AB,15,FALSE))</f>
        <v>1.6267214118813274E-2</v>
      </c>
      <c r="Q19" s="16">
        <f>VLOOKUP($B19,'Raw Gamma CPM'!$B:$AB,16,FALSE)*Standards!$H$23/(VLOOKUP($B19,'Tissue Mass'!$B:$AB,16,FALSE))</f>
        <v>3.9817468423373685E-2</v>
      </c>
      <c r="R19" s="16">
        <f>VLOOKUP($B19,'Raw Gamma CPM'!$B:$AB,17,FALSE)*Standards!$H$23/(VLOOKUP($B19,'Tissue Mass'!$B:$AB,17,FALSE))</f>
        <v>9.4124836727691088E-3</v>
      </c>
      <c r="S19" s="16">
        <f>VLOOKUP($B19,'Raw Gamma CPM'!$B:$AB,18,FALSE)*Standards!$H$23/(VLOOKUP($B19,'Tissue Mass'!$B:$AB,18,FALSE))</f>
        <v>1.6316792446727159E-2</v>
      </c>
      <c r="T19" s="16">
        <f>VLOOKUP($B19,'Raw Gamma CPM'!$B:$AB,19,FALSE)*Standards!$H$23/(VLOOKUP($B19,'Tissue Mass'!$B:$AB,19,FALSE))</f>
        <v>2.759448872773252E-2</v>
      </c>
      <c r="U19" s="16">
        <f>VLOOKUP($B19,'Raw Gamma CPM'!$B:$AB,20,FALSE)*Standards!$H$23/(VLOOKUP($B19,'Tissue Mass'!$B:$AB,20,FALSE))</f>
        <v>7.9976546990607397E-2</v>
      </c>
      <c r="V19" s="16">
        <f>VLOOKUP($B19,'Raw Gamma CPM'!$B:$AB,21,FALSE)*Standards!$H$23/(VLOOKUP($B19,'Tissue Mass'!$B:$AB,21,FALSE))</f>
        <v>0.15693366303438103</v>
      </c>
      <c r="W19" s="16"/>
      <c r="X19" s="16">
        <f>VLOOKUP($B19,'Raw Gamma CPM'!$B:$AB,23,FALSE)*Standards!$H$23/(VLOOKUP($B19,'Tissue Mass'!$B:$AB,23,FALSE))</f>
        <v>1.4449634937050562</v>
      </c>
      <c r="Y19" s="16">
        <f>VLOOKUP($B19,'Raw Gamma CPM'!$B:$AB,24,FALSE)*Standards!$H$23/(VLOOKUP($B19,'Tissue Mass'!$B:$AB,24,FALSE))</f>
        <v>0.88816921017715766</v>
      </c>
      <c r="Z19" s="16">
        <f>VLOOKUP($B19,'Raw Gamma CPM'!$B:$AB,25,FALSE)*Standards!$H$23/(VLOOKUP($B19,'Tissue Mass'!$B:$AB,25,FALSE))</f>
        <v>0.1509306614655738</v>
      </c>
      <c r="AA19" s="16">
        <f>VLOOKUP($B19,'Raw Gamma CPM'!$B:$AB,26,FALSE)*Standards!$H$23/(VLOOKUP($B19,'Tissue Mass'!$B:$AB,26,FALSE))</f>
        <v>2.48749167043174E-2</v>
      </c>
      <c r="AB19" s="22">
        <f>VLOOKUP($B19,'Raw Gamma CPM'!$B:$AB,27,FALSE)*Standards!$H$23/(VLOOKUP($B19,'Tissue Mass'!$B:$AB,27,FALSE))</f>
        <v>3.258012637291223E-2</v>
      </c>
    </row>
    <row r="20" spans="2:29" x14ac:dyDescent="0.25">
      <c r="B20" s="21">
        <v>33</v>
      </c>
      <c r="C20" s="12">
        <v>42650</v>
      </c>
      <c r="D20" s="56">
        <v>0.55208333333333337</v>
      </c>
      <c r="E20" s="13">
        <v>216</v>
      </c>
      <c r="F20" s="15">
        <v>229</v>
      </c>
      <c r="G20" s="12">
        <v>42659</v>
      </c>
      <c r="H20" s="18">
        <v>28.7</v>
      </c>
      <c r="I20" s="100" t="s">
        <v>35</v>
      </c>
      <c r="J20" s="15">
        <v>84</v>
      </c>
      <c r="K20" s="14">
        <v>90</v>
      </c>
      <c r="L20" s="58">
        <f t="shared" si="0"/>
        <v>1.0714285714285714</v>
      </c>
      <c r="M20" s="61">
        <v>42660</v>
      </c>
      <c r="N20" s="82">
        <v>3.6574074074074074E-3</v>
      </c>
      <c r="O20" s="103">
        <f t="shared" si="1"/>
        <v>9.4515740740680485</v>
      </c>
      <c r="P20" s="34">
        <f>VLOOKUP($B20,'Raw Gamma CPM'!$B:$AB,15,FALSE)*Standards!$H$23/(VLOOKUP($B20,'Tissue Mass'!$B:$AB,15,FALSE))</f>
        <v>2.3967296247834651E-2</v>
      </c>
      <c r="Q20" s="16">
        <f>VLOOKUP($B20,'Raw Gamma CPM'!$B:$AB,16,FALSE)*Standards!$H$23/(VLOOKUP($B20,'Tissue Mass'!$B:$AB,16,FALSE))</f>
        <v>0.50856276391635458</v>
      </c>
      <c r="R20" s="16">
        <f>VLOOKUP($B20,'Raw Gamma CPM'!$B:$AB,17,FALSE)*Standards!$H$23/(VLOOKUP($B20,'Tissue Mass'!$B:$AB,17,FALSE))</f>
        <v>1.1901782376881798</v>
      </c>
      <c r="S20" s="16">
        <f>VLOOKUP($B20,'Raw Gamma CPM'!$B:$AB,18,FALSE)*Standards!$H$23/(VLOOKUP($B20,'Tissue Mass'!$B:$AB,18,FALSE))</f>
        <v>0.11593462436906071</v>
      </c>
      <c r="T20" s="16">
        <f>VLOOKUP($B20,'Raw Gamma CPM'!$B:$AB,19,FALSE)*Standards!$H$23/(VLOOKUP($B20,'Tissue Mass'!$B:$AB,19,FALSE))</f>
        <v>0.22130174503193797</v>
      </c>
      <c r="U20" s="16">
        <f>VLOOKUP($B20,'Raw Gamma CPM'!$B:$AB,20,FALSE)*Standards!$H$23/(VLOOKUP($B20,'Tissue Mass'!$B:$AB,20,FALSE))</f>
        <v>9.228548099931401E-2</v>
      </c>
      <c r="V20" s="16">
        <f>VLOOKUP($B20,'Raw Gamma CPM'!$B:$AB,21,FALSE)*Standards!$H$23/(VLOOKUP($B20,'Tissue Mass'!$B:$AB,21,FALSE))</f>
        <v>0.10017862574709367</v>
      </c>
      <c r="W20" s="16"/>
      <c r="X20" s="16">
        <f>VLOOKUP($B20,'Raw Gamma CPM'!$B:$AB,23,FALSE)*Standards!$H$23/(VLOOKUP($B20,'Tissue Mass'!$B:$AB,23,FALSE))</f>
        <v>0.32365287353274347</v>
      </c>
      <c r="Y20" s="16">
        <f>VLOOKUP($B20,'Raw Gamma CPM'!$B:$AB,24,FALSE)*Standards!$H$23/(VLOOKUP($B20,'Tissue Mass'!$B:$AB,24,FALSE))</f>
        <v>0.29678928897650253</v>
      </c>
      <c r="Z20" s="16">
        <f>VLOOKUP($B20,'Raw Gamma CPM'!$B:$AB,25,FALSE)*Standards!$H$23/(VLOOKUP($B20,'Tissue Mass'!$B:$AB,25,FALSE))</f>
        <v>0.13075493935575719</v>
      </c>
      <c r="AA20" s="16">
        <f>VLOOKUP($B20,'Raw Gamma CPM'!$B:$AB,26,FALSE)*Standards!$H$23/(VLOOKUP($B20,'Tissue Mass'!$B:$AB,26,FALSE))</f>
        <v>4.8435562148295523E-2</v>
      </c>
      <c r="AB20" s="22">
        <f>VLOOKUP($B20,'Raw Gamma CPM'!$B:$AB,27,FALSE)*Standards!$H$23/(VLOOKUP($B20,'Tissue Mass'!$B:$AB,27,FALSE))</f>
        <v>3.5084310068692184E-2</v>
      </c>
    </row>
    <row r="21" spans="2:29" x14ac:dyDescent="0.25">
      <c r="B21" s="21">
        <v>34</v>
      </c>
      <c r="C21" s="12">
        <v>42650</v>
      </c>
      <c r="D21" s="56">
        <v>0.56388888888888888</v>
      </c>
      <c r="E21" s="13">
        <v>216</v>
      </c>
      <c r="F21" s="15">
        <v>187.4</v>
      </c>
      <c r="G21" s="12">
        <v>42659</v>
      </c>
      <c r="H21" s="18">
        <v>28.3</v>
      </c>
      <c r="I21" s="100" t="s">
        <v>35</v>
      </c>
      <c r="J21" s="15">
        <v>54</v>
      </c>
      <c r="K21" s="14">
        <v>52</v>
      </c>
      <c r="L21" s="58">
        <f t="shared" si="0"/>
        <v>0.96296296296296291</v>
      </c>
      <c r="M21" s="61">
        <v>42660</v>
      </c>
      <c r="N21" s="82">
        <v>7.8240740740740753E-3</v>
      </c>
      <c r="O21" s="103">
        <f t="shared" si="1"/>
        <v>9.4439351851906395</v>
      </c>
      <c r="P21" s="34">
        <f>VLOOKUP($B21,'Raw Gamma CPM'!$B:$AB,15,FALSE)*Standards!$H$23/(VLOOKUP($B21,'Tissue Mass'!$B:$AB,15,FALSE))</f>
        <v>2.6813797985551658E-2</v>
      </c>
      <c r="Q21" s="16">
        <f>VLOOKUP($B21,'Raw Gamma CPM'!$B:$AB,16,FALSE)*Standards!$H$23/(VLOOKUP($B21,'Tissue Mass'!$B:$AB,16,FALSE))</f>
        <v>3.037699985924994E-2</v>
      </c>
      <c r="R21" s="16">
        <f>VLOOKUP($B21,'Raw Gamma CPM'!$B:$AB,17,FALSE)*Standards!$H$23/(VLOOKUP($B21,'Tissue Mass'!$B:$AB,17,FALSE))</f>
        <v>1.3579348932324103E-2</v>
      </c>
      <c r="S21" s="16">
        <f>VLOOKUP($B21,'Raw Gamma CPM'!$B:$AB,18,FALSE)*Standards!$H$23/(VLOOKUP($B21,'Tissue Mass'!$B:$AB,18,FALSE))</f>
        <v>2.2738163428647595E-2</v>
      </c>
      <c r="T21" s="16">
        <f>VLOOKUP($B21,'Raw Gamma CPM'!$B:$AB,19,FALSE)*Standards!$H$23/(VLOOKUP($B21,'Tissue Mass'!$B:$AB,19,FALSE))</f>
        <v>7.1508113803561785E-2</v>
      </c>
      <c r="U21" s="16">
        <f>VLOOKUP($B21,'Raw Gamma CPM'!$B:$AB,20,FALSE)*Standards!$H$23/(VLOOKUP($B21,'Tissue Mass'!$B:$AB,20,FALSE))</f>
        <v>0.1602432991110998</v>
      </c>
      <c r="V21" s="16">
        <f>VLOOKUP($B21,'Raw Gamma CPM'!$B:$AB,21,FALSE)*Standards!$H$23/(VLOOKUP($B21,'Tissue Mass'!$B:$AB,21,FALSE))</f>
        <v>1.0244754630499875</v>
      </c>
      <c r="W21" s="16"/>
      <c r="X21" s="16">
        <f>VLOOKUP($B21,'Raw Gamma CPM'!$B:$AB,23,FALSE)*Standards!$H$23/(VLOOKUP($B21,'Tissue Mass'!$B:$AB,23,FALSE))</f>
        <v>16.561402716578858</v>
      </c>
      <c r="Y21" s="16">
        <f>VLOOKUP($B21,'Raw Gamma CPM'!$B:$AB,24,FALSE)*Standards!$H$23/(VLOOKUP($B21,'Tissue Mass'!$B:$AB,24,FALSE))</f>
        <v>4.2285047346479221</v>
      </c>
      <c r="Z21" s="16">
        <f>VLOOKUP($B21,'Raw Gamma CPM'!$B:$AB,25,FALSE)*Standards!$H$23/(VLOOKUP($B21,'Tissue Mass'!$B:$AB,25,FALSE))</f>
        <v>0.17343635715062061</v>
      </c>
      <c r="AA21" s="16">
        <f>VLOOKUP($B21,'Raw Gamma CPM'!$B:$AB,26,FALSE)*Standards!$H$23/(VLOOKUP($B21,'Tissue Mass'!$B:$AB,26,FALSE))</f>
        <v>0.13022144203882002</v>
      </c>
      <c r="AB21" s="22">
        <f>VLOOKUP($B21,'Raw Gamma CPM'!$B:$AB,27,FALSE)*Standards!$H$23/(VLOOKUP($B21,'Tissue Mass'!$B:$AB,27,FALSE))</f>
        <v>3.9756185317387609E-2</v>
      </c>
    </row>
    <row r="22" spans="2:29" x14ac:dyDescent="0.25">
      <c r="B22" s="21">
        <v>35</v>
      </c>
      <c r="C22" s="12">
        <v>42650</v>
      </c>
      <c r="D22" s="56">
        <v>0.57777777777777783</v>
      </c>
      <c r="E22" s="13">
        <v>216</v>
      </c>
      <c r="F22" s="15">
        <v>430</v>
      </c>
      <c r="G22" s="12">
        <v>42659</v>
      </c>
      <c r="H22" s="18">
        <v>30.2</v>
      </c>
      <c r="I22" s="100" t="s">
        <v>35</v>
      </c>
      <c r="J22" s="15">
        <v>170</v>
      </c>
      <c r="K22" s="14">
        <v>173</v>
      </c>
      <c r="L22" s="58">
        <f t="shared" si="0"/>
        <v>1.0176470588235293</v>
      </c>
      <c r="M22" s="61">
        <v>42660</v>
      </c>
      <c r="N22" s="82">
        <v>1.1990740740740739E-2</v>
      </c>
      <c r="O22" s="103">
        <f t="shared" si="1"/>
        <v>9.4342129629658302</v>
      </c>
      <c r="P22" s="34">
        <f>VLOOKUP($B22,'Raw Gamma CPM'!$B:$AB,15,FALSE)*Standards!$H$23/(VLOOKUP($B22,'Tissue Mass'!$B:$AB,15,FALSE))</f>
        <v>3.4229192259901127E-2</v>
      </c>
      <c r="Q22" s="16">
        <f>VLOOKUP($B22,'Raw Gamma CPM'!$B:$AB,16,FALSE)*Standards!$H$23/(VLOOKUP($B22,'Tissue Mass'!$B:$AB,16,FALSE))</f>
        <v>4.9431805401421315E-2</v>
      </c>
      <c r="R22" s="16">
        <f>VLOOKUP($B22,'Raw Gamma CPM'!$B:$AB,17,FALSE)*Standards!$H$23/(VLOOKUP($B22,'Tissue Mass'!$B:$AB,17,FALSE))</f>
        <v>2.5868972301287048E-2</v>
      </c>
      <c r="S22" s="16">
        <f>VLOOKUP($B22,'Raw Gamma CPM'!$B:$AB,18,FALSE)*Standards!$H$23/(VLOOKUP($B22,'Tissue Mass'!$B:$AB,18,FALSE))</f>
        <v>3.3516616371420428E-2</v>
      </c>
      <c r="T22" s="16">
        <f>VLOOKUP($B22,'Raw Gamma CPM'!$B:$AB,19,FALSE)*Standards!$H$23/(VLOOKUP($B22,'Tissue Mass'!$B:$AB,19,FALSE))</f>
        <v>6.7356888794295341E-2</v>
      </c>
      <c r="U22" s="16">
        <f>VLOOKUP($B22,'Raw Gamma CPM'!$B:$AB,20,FALSE)*Standards!$H$23/(VLOOKUP($B22,'Tissue Mass'!$B:$AB,20,FALSE))</f>
        <v>7.3582841214045167E-2</v>
      </c>
      <c r="V22" s="16">
        <f>VLOOKUP($B22,'Raw Gamma CPM'!$B:$AB,21,FALSE)*Standards!$H$23/(VLOOKUP($B22,'Tissue Mass'!$B:$AB,21,FALSE))</f>
        <v>0.13629153899870991</v>
      </c>
      <c r="W22" s="16"/>
      <c r="X22" s="16">
        <f>VLOOKUP($B22,'Raw Gamma CPM'!$B:$AB,23,FALSE)*Standards!$H$23/(VLOOKUP($B22,'Tissue Mass'!$B:$AB,23,FALSE))</f>
        <v>0.45755165431027767</v>
      </c>
      <c r="Y22" s="16">
        <f>VLOOKUP($B22,'Raw Gamma CPM'!$B:$AB,24,FALSE)*Standards!$H$23/(VLOOKUP($B22,'Tissue Mass'!$B:$AB,24,FALSE))</f>
        <v>1.4360608614285661</v>
      </c>
      <c r="Z22" s="16">
        <f>VLOOKUP($B22,'Raw Gamma CPM'!$B:$AB,25,FALSE)*Standards!$H$23/(VLOOKUP($B22,'Tissue Mass'!$B:$AB,25,FALSE))</f>
        <v>0.14470095817012815</v>
      </c>
      <c r="AA22" s="16">
        <f>VLOOKUP($B22,'Raw Gamma CPM'!$B:$AB,26,FALSE)*Standards!$H$23/(VLOOKUP($B22,'Tissue Mass'!$B:$AB,26,FALSE))</f>
        <v>0.32416891654398433</v>
      </c>
      <c r="AB22" s="22">
        <f>VLOOKUP($B22,'Raw Gamma CPM'!$B:$AB,27,FALSE)*Standards!$H$23/(VLOOKUP($B22,'Tissue Mass'!$B:$AB,27,FALSE))</f>
        <v>0.11611976474423384</v>
      </c>
    </row>
    <row r="23" spans="2:29" x14ac:dyDescent="0.25">
      <c r="B23" s="21">
        <v>53</v>
      </c>
      <c r="C23" s="12">
        <v>42650</v>
      </c>
      <c r="D23" s="56">
        <v>0.68888888888888899</v>
      </c>
      <c r="E23" s="13">
        <v>216</v>
      </c>
      <c r="F23" s="15">
        <v>321</v>
      </c>
      <c r="G23" s="12">
        <v>42659</v>
      </c>
      <c r="H23" s="14">
        <v>30.4</v>
      </c>
      <c r="I23" s="99" t="s">
        <v>35</v>
      </c>
      <c r="J23" s="15">
        <v>41</v>
      </c>
      <c r="K23" s="14">
        <v>31</v>
      </c>
      <c r="L23" s="58">
        <f t="shared" si="0"/>
        <v>0.75609756097560976</v>
      </c>
      <c r="M23" s="61">
        <v>42660</v>
      </c>
      <c r="N23" s="82">
        <v>1.6157407407407409E-2</v>
      </c>
      <c r="O23" s="103">
        <f t="shared" si="1"/>
        <v>9.3272685185220325</v>
      </c>
      <c r="P23" s="34">
        <f>VLOOKUP($B23,'Raw Gamma CPM'!$B:$AB,15,FALSE)*Standards!$H$23/(VLOOKUP($B23,'Tissue Mass'!$B:$AB,15,FALSE))</f>
        <v>1.4419155905517773E-2</v>
      </c>
      <c r="Q23" s="16">
        <f>VLOOKUP($B23,'Raw Gamma CPM'!$B:$AB,16,FALSE)*Standards!$H$23/(VLOOKUP($B23,'Tissue Mass'!$B:$AB,16,FALSE))</f>
        <v>1.8076206125980477E-2</v>
      </c>
      <c r="R23" s="16">
        <f>VLOOKUP($B23,'Raw Gamma CPM'!$B:$AB,17,FALSE)*Standards!$H$23/(VLOOKUP($B23,'Tissue Mass'!$B:$AB,17,FALSE))</f>
        <v>8.3823012592414061E-3</v>
      </c>
      <c r="S23" s="16">
        <f>VLOOKUP($B23,'Raw Gamma CPM'!$B:$AB,18,FALSE)*Standards!$H$23/(VLOOKUP($B23,'Tissue Mass'!$B:$AB,18,FALSE))</f>
        <v>1.4713988407697739E-2</v>
      </c>
      <c r="T23" s="16">
        <f>VLOOKUP($B23,'Raw Gamma CPM'!$B:$AB,19,FALSE)*Standards!$H$23/(VLOOKUP($B23,'Tissue Mass'!$B:$AB,19,FALSE))</f>
        <v>3.6232802261006045E-2</v>
      </c>
      <c r="U23" s="16">
        <f>VLOOKUP($B23,'Raw Gamma CPM'!$B:$AB,20,FALSE)*Standards!$H$23/(VLOOKUP($B23,'Tissue Mass'!$B:$AB,20,FALSE))</f>
        <v>0.96208715254787791</v>
      </c>
      <c r="V23" s="16">
        <f>VLOOKUP($B23,'Raw Gamma CPM'!$B:$AB,21,FALSE)*Standards!$H$23/(VLOOKUP($B23,'Tissue Mass'!$B:$AB,21,FALSE))</f>
        <v>40.17973028310675</v>
      </c>
      <c r="W23" s="16"/>
      <c r="X23" s="16">
        <f>VLOOKUP($B23,'Raw Gamma CPM'!$B:$AB,23,FALSE)*Standards!$H$23/(VLOOKUP($B23,'Tissue Mass'!$B:$AB,23,FALSE))</f>
        <v>16.590131348873076</v>
      </c>
      <c r="Y23" s="16">
        <f>VLOOKUP($B23,'Raw Gamma CPM'!$B:$AB,24,FALSE)*Standards!$H$23/(VLOOKUP($B23,'Tissue Mass'!$B:$AB,24,FALSE))</f>
        <v>2.6979370529993085</v>
      </c>
      <c r="Z23" s="16">
        <f>VLOOKUP($B23,'Raw Gamma CPM'!$B:$AB,25,FALSE)*Standards!$H$23/(VLOOKUP($B23,'Tissue Mass'!$B:$AB,25,FALSE))</f>
        <v>0.13347234278227782</v>
      </c>
      <c r="AA23" s="16">
        <f>VLOOKUP($B23,'Raw Gamma CPM'!$B:$AB,26,FALSE)*Standards!$H$23/(VLOOKUP($B23,'Tissue Mass'!$B:$AB,26,FALSE))</f>
        <v>1.2548552507316448</v>
      </c>
      <c r="AB23" s="22">
        <f>VLOOKUP($B23,'Raw Gamma CPM'!$B:$AB,27,FALSE)*Standards!$H$23/(VLOOKUP($B23,'Tissue Mass'!$B:$AB,27,FALSE))</f>
        <v>3.0441005048765166E-2</v>
      </c>
    </row>
    <row r="24" spans="2:29" x14ac:dyDescent="0.25">
      <c r="B24" s="21">
        <v>55</v>
      </c>
      <c r="C24" s="12">
        <v>42650</v>
      </c>
      <c r="D24" s="56">
        <v>0.70416666666666661</v>
      </c>
      <c r="E24" s="13">
        <v>216</v>
      </c>
      <c r="F24" s="15">
        <v>265</v>
      </c>
      <c r="G24" s="12">
        <v>42659</v>
      </c>
      <c r="H24" s="14">
        <v>29.4</v>
      </c>
      <c r="I24" s="99" t="s">
        <v>36</v>
      </c>
      <c r="J24" s="15">
        <v>84</v>
      </c>
      <c r="K24" s="105" t="s">
        <v>47</v>
      </c>
      <c r="L24" s="105" t="s">
        <v>47</v>
      </c>
      <c r="M24" s="105" t="s">
        <v>47</v>
      </c>
      <c r="N24" s="105" t="s">
        <v>47</v>
      </c>
      <c r="O24" s="108" t="s">
        <v>47</v>
      </c>
      <c r="P24" s="34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22"/>
    </row>
    <row r="25" spans="2:29" ht="15.75" thickBot="1" x14ac:dyDescent="0.3">
      <c r="B25" s="23"/>
      <c r="C25" s="24"/>
      <c r="D25" s="24"/>
      <c r="E25" s="25"/>
      <c r="F25" s="26"/>
      <c r="G25" s="25"/>
      <c r="H25" s="24"/>
      <c r="I25" s="101"/>
      <c r="J25" s="26"/>
      <c r="K25" s="27"/>
      <c r="L25" s="59"/>
      <c r="M25" s="62"/>
      <c r="N25" s="80"/>
      <c r="O25" s="104"/>
      <c r="P25" s="86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8"/>
    </row>
    <row r="26" spans="2:29" ht="7.5" customHeight="1" x14ac:dyDescent="0.25"/>
    <row r="27" spans="2:29" ht="18.75" customHeight="1" thickBot="1" x14ac:dyDescent="0.3">
      <c r="N27" s="214" t="s">
        <v>43</v>
      </c>
      <c r="O27" s="214"/>
    </row>
    <row r="28" spans="2:29" x14ac:dyDescent="0.25">
      <c r="P28" s="183" t="s">
        <v>50</v>
      </c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13" t="s">
        <v>51</v>
      </c>
    </row>
    <row r="29" spans="2:29" ht="26.25" x14ac:dyDescent="0.25">
      <c r="O29" s="95" t="s">
        <v>44</v>
      </c>
      <c r="P29" s="96" t="s">
        <v>2</v>
      </c>
      <c r="Q29" s="96" t="s">
        <v>3</v>
      </c>
      <c r="R29" s="96" t="s">
        <v>4</v>
      </c>
      <c r="S29" s="96" t="s">
        <v>5</v>
      </c>
      <c r="T29" s="96" t="s">
        <v>6</v>
      </c>
      <c r="U29" s="96" t="s">
        <v>7</v>
      </c>
      <c r="V29" s="96" t="s">
        <v>45</v>
      </c>
      <c r="W29" s="96" t="s">
        <v>8</v>
      </c>
      <c r="X29" s="96" t="s">
        <v>9</v>
      </c>
      <c r="Y29" s="96" t="s">
        <v>10</v>
      </c>
      <c r="Z29" s="96" t="s">
        <v>11</v>
      </c>
      <c r="AA29" s="96" t="s">
        <v>12</v>
      </c>
      <c r="AB29" s="96" t="s">
        <v>13</v>
      </c>
      <c r="AC29" s="114"/>
    </row>
    <row r="30" spans="2:29" x14ac:dyDescent="0.25">
      <c r="O30" s="93">
        <v>0</v>
      </c>
      <c r="P30" s="97" t="e">
        <f t="shared" ref="P30:AB34" si="2">AVERAGEIFS(P$5:P$25,$E$5:$E$25,$O30,$I$5:$I$25,"Yes")</f>
        <v>#DIV/0!</v>
      </c>
      <c r="Q30" s="97" t="e">
        <f t="shared" si="2"/>
        <v>#DIV/0!</v>
      </c>
      <c r="R30" s="97" t="e">
        <f t="shared" si="2"/>
        <v>#DIV/0!</v>
      </c>
      <c r="S30" s="97" t="e">
        <f t="shared" si="2"/>
        <v>#DIV/0!</v>
      </c>
      <c r="T30" s="97" t="e">
        <f t="shared" si="2"/>
        <v>#DIV/0!</v>
      </c>
      <c r="U30" s="97" t="e">
        <f t="shared" si="2"/>
        <v>#DIV/0!</v>
      </c>
      <c r="V30" s="97" t="e">
        <f t="shared" si="2"/>
        <v>#DIV/0!</v>
      </c>
      <c r="W30" s="97" t="e">
        <f t="shared" si="2"/>
        <v>#DIV/0!</v>
      </c>
      <c r="X30" s="97" t="e">
        <f t="shared" si="2"/>
        <v>#DIV/0!</v>
      </c>
      <c r="Y30" s="97" t="e">
        <f t="shared" si="2"/>
        <v>#DIV/0!</v>
      </c>
      <c r="Z30" s="97" t="e">
        <f t="shared" si="2"/>
        <v>#DIV/0!</v>
      </c>
      <c r="AA30" s="97" t="e">
        <f t="shared" si="2"/>
        <v>#DIV/0!</v>
      </c>
      <c r="AB30" s="97" t="e">
        <f t="shared" si="2"/>
        <v>#DIV/0!</v>
      </c>
      <c r="AC30" s="119">
        <f>COUNTIFS($I$5:$I$25,"Yes",$E$5:$E$25,O30)</f>
        <v>0</v>
      </c>
    </row>
    <row r="31" spans="2:29" x14ac:dyDescent="0.25">
      <c r="O31" s="93">
        <v>24</v>
      </c>
      <c r="P31" s="143">
        <f t="shared" si="2"/>
        <v>7.5411256050143691E-2</v>
      </c>
      <c r="Q31" s="143">
        <f t="shared" si="2"/>
        <v>0.11478038071726257</v>
      </c>
      <c r="R31" s="143">
        <f t="shared" si="2"/>
        <v>0.11634951386478899</v>
      </c>
      <c r="S31" s="143">
        <f t="shared" si="2"/>
        <v>6.0540373787812601E-2</v>
      </c>
      <c r="T31" s="143">
        <f t="shared" si="2"/>
        <v>0.11158562842795239</v>
      </c>
      <c r="U31" s="143">
        <f t="shared" si="2"/>
        <v>0.13683509375577294</v>
      </c>
      <c r="V31" s="143">
        <f t="shared" si="2"/>
        <v>1.846223351641356</v>
      </c>
      <c r="W31" s="143" t="e">
        <f t="shared" si="2"/>
        <v>#DIV/0!</v>
      </c>
      <c r="X31" s="143">
        <f t="shared" si="2"/>
        <v>3.2264709854836577</v>
      </c>
      <c r="Y31" s="143">
        <f t="shared" si="2"/>
        <v>3.4846355376266636</v>
      </c>
      <c r="Z31" s="143">
        <f t="shared" si="2"/>
        <v>0.13736557452795059</v>
      </c>
      <c r="AA31" s="143">
        <f t="shared" si="2"/>
        <v>0.23838679206287855</v>
      </c>
      <c r="AB31" s="143">
        <f t="shared" si="2"/>
        <v>0.41442816457389253</v>
      </c>
      <c r="AC31" s="119">
        <f t="shared" ref="AC31:AC34" si="3">COUNTIFS($I$5:$I$25,"Yes",$E$5:$E$25,O31)</f>
        <v>4</v>
      </c>
    </row>
    <row r="32" spans="2:29" x14ac:dyDescent="0.25">
      <c r="O32" s="93">
        <v>48</v>
      </c>
      <c r="P32" s="143">
        <f t="shared" si="2"/>
        <v>1.0560086309220049E-2</v>
      </c>
      <c r="Q32" s="143">
        <f t="shared" si="2"/>
        <v>4.4532383983819687E-2</v>
      </c>
      <c r="R32" s="143">
        <f t="shared" si="2"/>
        <v>4.1904427390172153E-2</v>
      </c>
      <c r="S32" s="143">
        <f t="shared" si="2"/>
        <v>8.5509870430832691E-3</v>
      </c>
      <c r="T32" s="143">
        <f t="shared" si="2"/>
        <v>1.5723336835476075E-2</v>
      </c>
      <c r="U32" s="143">
        <f t="shared" si="2"/>
        <v>2.749882901234936E-2</v>
      </c>
      <c r="V32" s="143">
        <f t="shared" si="2"/>
        <v>0.22035342083258219</v>
      </c>
      <c r="W32" s="143" t="e">
        <f t="shared" si="2"/>
        <v>#DIV/0!</v>
      </c>
      <c r="X32" s="143">
        <f t="shared" si="2"/>
        <v>0.78472979312596258</v>
      </c>
      <c r="Y32" s="143">
        <f t="shared" si="2"/>
        <v>0.10132793582723629</v>
      </c>
      <c r="Z32" s="143">
        <f t="shared" si="2"/>
        <v>5.4287557805724126E-2</v>
      </c>
      <c r="AA32" s="143">
        <f t="shared" si="2"/>
        <v>2.7300848193628036E-2</v>
      </c>
      <c r="AB32" s="143">
        <f t="shared" si="2"/>
        <v>2.5642923654545659E-2</v>
      </c>
      <c r="AC32" s="119">
        <f t="shared" si="3"/>
        <v>4</v>
      </c>
    </row>
    <row r="33" spans="12:29" x14ac:dyDescent="0.25">
      <c r="L33" s="110"/>
      <c r="O33" s="93">
        <v>72</v>
      </c>
      <c r="P33" s="143">
        <f t="shared" si="2"/>
        <v>2.3167533933378302E-2</v>
      </c>
      <c r="Q33" s="143">
        <f t="shared" si="2"/>
        <v>4.9075184834413033E-2</v>
      </c>
      <c r="R33" s="143">
        <f t="shared" si="2"/>
        <v>1.2737255428785545E-2</v>
      </c>
      <c r="S33" s="143">
        <f t="shared" si="2"/>
        <v>2.2592082887471839E-2</v>
      </c>
      <c r="T33" s="143">
        <f t="shared" si="2"/>
        <v>3.7419809399459006E-2</v>
      </c>
      <c r="U33" s="143">
        <f t="shared" si="2"/>
        <v>0.1041371308384029</v>
      </c>
      <c r="V33" s="143">
        <f t="shared" si="2"/>
        <v>14.459898606828872</v>
      </c>
      <c r="W33" s="143" t="e">
        <f t="shared" si="2"/>
        <v>#DIV/0!</v>
      </c>
      <c r="X33" s="143">
        <f t="shared" si="2"/>
        <v>10.830420866611874</v>
      </c>
      <c r="Y33" s="143">
        <f t="shared" si="2"/>
        <v>2.1059916304086341</v>
      </c>
      <c r="Z33" s="143">
        <f t="shared" si="2"/>
        <v>0.29560549303192052</v>
      </c>
      <c r="AA33" s="143">
        <f t="shared" si="2"/>
        <v>5.8159587103912558E-2</v>
      </c>
      <c r="AB33" s="143">
        <f t="shared" si="2"/>
        <v>4.4567795751855294E-2</v>
      </c>
      <c r="AC33" s="119">
        <f t="shared" si="3"/>
        <v>2</v>
      </c>
    </row>
    <row r="34" spans="12:29" x14ac:dyDescent="0.25">
      <c r="O34" s="93">
        <v>216</v>
      </c>
      <c r="P34" s="143">
        <f t="shared" si="2"/>
        <v>2.4857360599701301E-2</v>
      </c>
      <c r="Q34" s="143">
        <f t="shared" si="2"/>
        <v>0.15161194382575158</v>
      </c>
      <c r="R34" s="143">
        <f t="shared" si="2"/>
        <v>0.3095022150452581</v>
      </c>
      <c r="S34" s="143">
        <f t="shared" si="2"/>
        <v>4.6725848144206619E-2</v>
      </c>
      <c r="T34" s="143">
        <f t="shared" si="2"/>
        <v>9.9099887472700293E-2</v>
      </c>
      <c r="U34" s="143">
        <f t="shared" si="2"/>
        <v>0.32204969346808421</v>
      </c>
      <c r="V34" s="143">
        <f t="shared" si="2"/>
        <v>10.360168977725635</v>
      </c>
      <c r="W34" s="143" t="e">
        <f t="shared" si="2"/>
        <v>#DIV/0!</v>
      </c>
      <c r="X34" s="143">
        <f t="shared" si="2"/>
        <v>8.4831846483237392</v>
      </c>
      <c r="Y34" s="143">
        <f t="shared" si="2"/>
        <v>2.1648229845130746</v>
      </c>
      <c r="Z34" s="143">
        <f t="shared" si="2"/>
        <v>0.14559114936469594</v>
      </c>
      <c r="AA34" s="143">
        <f t="shared" si="2"/>
        <v>0.43942029286568618</v>
      </c>
      <c r="AB34" s="143">
        <f t="shared" si="2"/>
        <v>5.5350316294769705E-2</v>
      </c>
      <c r="AC34" s="119">
        <f t="shared" si="3"/>
        <v>4</v>
      </c>
    </row>
  </sheetData>
  <autoFilter ref="B4:AB25" xr:uid="{00000000-0009-0000-0000-000003000000}">
    <sortState xmlns:xlrd2="http://schemas.microsoft.com/office/spreadsheetml/2017/richdata2" ref="B6:AB25">
      <sortCondition ref="E4:E25"/>
    </sortState>
  </autoFilter>
  <mergeCells count="17">
    <mergeCell ref="H3:H4"/>
    <mergeCell ref="B3:B4"/>
    <mergeCell ref="C3:C4"/>
    <mergeCell ref="D3:D4"/>
    <mergeCell ref="E3:E4"/>
    <mergeCell ref="G3:G4"/>
    <mergeCell ref="F3:F4"/>
    <mergeCell ref="P28:AB28"/>
    <mergeCell ref="N27:O27"/>
    <mergeCell ref="O3:O4"/>
    <mergeCell ref="P3:AB3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B1:I26"/>
  <sheetViews>
    <sheetView showGridLines="0" workbookViewId="0">
      <selection activeCell="H9" sqref="H9"/>
    </sheetView>
  </sheetViews>
  <sheetFormatPr defaultRowHeight="15" x14ac:dyDescent="0.25"/>
  <cols>
    <col min="1" max="1" width="1.42578125" customWidth="1"/>
    <col min="2" max="2" width="11" style="4" customWidth="1"/>
    <col min="3" max="3" width="9.42578125" customWidth="1"/>
    <col min="4" max="5" width="11" style="5" customWidth="1"/>
    <col min="6" max="6" width="10.140625" style="39" customWidth="1"/>
    <col min="7" max="7" width="11" style="44" customWidth="1"/>
    <col min="8" max="8" width="10.140625" style="47" customWidth="1"/>
    <col min="9" max="9" width="12.5703125" style="6" customWidth="1"/>
  </cols>
  <sheetData>
    <row r="1" spans="2:9" ht="23.25" x14ac:dyDescent="0.35">
      <c r="B1" s="31" t="s">
        <v>24</v>
      </c>
    </row>
    <row r="2" spans="2:9" ht="11.25" customHeight="1" thickBot="1" x14ac:dyDescent="0.3">
      <c r="B2" s="30"/>
    </row>
    <row r="3" spans="2:9" ht="15.75" thickBot="1" x14ac:dyDescent="0.3">
      <c r="B3" s="187" t="s">
        <v>20</v>
      </c>
      <c r="C3" s="176" t="s">
        <v>1</v>
      </c>
      <c r="D3" s="176" t="s">
        <v>21</v>
      </c>
      <c r="E3" s="178" t="s">
        <v>34</v>
      </c>
      <c r="F3" s="234" t="s">
        <v>22</v>
      </c>
      <c r="G3" s="236" t="s">
        <v>25</v>
      </c>
      <c r="H3" s="238" t="s">
        <v>26</v>
      </c>
      <c r="I3" s="232" t="s">
        <v>23</v>
      </c>
    </row>
    <row r="4" spans="2:9" s="1" customFormat="1" ht="15.75" hidden="1" thickBot="1" x14ac:dyDescent="0.3">
      <c r="B4" s="188"/>
      <c r="C4" s="177"/>
      <c r="D4" s="177"/>
      <c r="E4" s="179"/>
      <c r="F4" s="235"/>
      <c r="G4" s="237"/>
      <c r="H4" s="239"/>
      <c r="I4" s="233" t="s">
        <v>13</v>
      </c>
    </row>
    <row r="5" spans="2:9" x14ac:dyDescent="0.25">
      <c r="B5" s="19">
        <v>1</v>
      </c>
      <c r="C5" s="7">
        <v>42659</v>
      </c>
      <c r="D5" s="50">
        <v>0.64583333333333337</v>
      </c>
      <c r="E5" s="66" t="s">
        <v>35</v>
      </c>
      <c r="F5" s="40">
        <v>4.1399999999999997</v>
      </c>
      <c r="G5" s="45">
        <v>926499</v>
      </c>
      <c r="H5" s="48">
        <v>1.7533399999999999</v>
      </c>
      <c r="I5" s="41">
        <v>3249281.1</v>
      </c>
    </row>
    <row r="6" spans="2:9" x14ac:dyDescent="0.25">
      <c r="B6" s="21">
        <v>4</v>
      </c>
      <c r="C6" s="12">
        <v>42659</v>
      </c>
      <c r="D6" s="51">
        <v>0.64583333333333337</v>
      </c>
      <c r="E6" s="67" t="s">
        <v>35</v>
      </c>
      <c r="F6" s="17">
        <v>0.2</v>
      </c>
      <c r="G6" s="46">
        <v>4426</v>
      </c>
      <c r="H6" s="49">
        <v>1.00149</v>
      </c>
      <c r="I6" s="42">
        <v>8867</v>
      </c>
    </row>
    <row r="7" spans="2:9" x14ac:dyDescent="0.25">
      <c r="B7" s="21">
        <v>1</v>
      </c>
      <c r="C7" s="12">
        <v>42659</v>
      </c>
      <c r="D7" s="51">
        <v>0.97222222222222221</v>
      </c>
      <c r="E7" s="67" t="s">
        <v>35</v>
      </c>
      <c r="F7" s="17">
        <v>4.12</v>
      </c>
      <c r="G7" s="46">
        <v>919036</v>
      </c>
      <c r="H7" s="49">
        <v>1.7372399999999999</v>
      </c>
      <c r="I7" s="42">
        <v>3196531.5</v>
      </c>
    </row>
    <row r="8" spans="2:9" x14ac:dyDescent="0.25">
      <c r="B8" s="21">
        <v>2</v>
      </c>
      <c r="C8" s="12">
        <v>42659</v>
      </c>
      <c r="D8" s="51">
        <v>0.97222222222222221</v>
      </c>
      <c r="E8" s="67" t="s">
        <v>35</v>
      </c>
      <c r="F8" s="17">
        <v>8.4</v>
      </c>
      <c r="G8" s="46">
        <v>1062613</v>
      </c>
      <c r="H8" s="49">
        <v>2.9657900000000001</v>
      </c>
      <c r="I8" s="42">
        <v>6309893.7000000002</v>
      </c>
    </row>
    <row r="9" spans="2:9" x14ac:dyDescent="0.25">
      <c r="B9" s="21">
        <v>4</v>
      </c>
      <c r="C9" s="12">
        <v>42659</v>
      </c>
      <c r="D9" s="51">
        <v>0.97222222222222221</v>
      </c>
      <c r="E9" s="67" t="s">
        <v>35</v>
      </c>
      <c r="F9" s="17">
        <v>0.06</v>
      </c>
      <c r="G9" s="46">
        <v>4318</v>
      </c>
      <c r="H9" s="49">
        <v>1.00145</v>
      </c>
      <c r="I9" s="42">
        <v>8659.1</v>
      </c>
    </row>
    <row r="10" spans="2:9" x14ac:dyDescent="0.25">
      <c r="B10" s="21">
        <v>7</v>
      </c>
      <c r="C10" s="12">
        <v>42659</v>
      </c>
      <c r="D10" s="51">
        <v>0.97222222222222221</v>
      </c>
      <c r="E10" s="67" t="s">
        <v>35</v>
      </c>
      <c r="F10" s="17">
        <v>0.91</v>
      </c>
      <c r="G10" s="46">
        <v>385312</v>
      </c>
      <c r="H10" s="49">
        <v>1.15299</v>
      </c>
      <c r="I10" s="42">
        <v>889718.1</v>
      </c>
    </row>
    <row r="11" spans="2:9" x14ac:dyDescent="0.25">
      <c r="B11" s="21">
        <v>8</v>
      </c>
      <c r="C11" s="12">
        <v>42659</v>
      </c>
      <c r="D11" s="51">
        <v>0.97222222222222221</v>
      </c>
      <c r="E11" s="67" t="s">
        <v>35</v>
      </c>
      <c r="F11" s="17">
        <v>0.56000000000000005</v>
      </c>
      <c r="G11" s="46">
        <v>173121</v>
      </c>
      <c r="H11" s="49">
        <v>1.0605899999999999</v>
      </c>
      <c r="I11" s="42">
        <v>367730.4</v>
      </c>
    </row>
    <row r="12" spans="2:9" x14ac:dyDescent="0.25">
      <c r="B12" s="21">
        <v>9</v>
      </c>
      <c r="C12" s="12">
        <v>42659</v>
      </c>
      <c r="D12" s="51">
        <v>0.97222222222222221</v>
      </c>
      <c r="E12" s="67" t="s">
        <v>35</v>
      </c>
      <c r="F12" s="17">
        <v>1.52</v>
      </c>
      <c r="G12" s="46">
        <v>525417</v>
      </c>
      <c r="H12" s="49">
        <v>1.2361</v>
      </c>
      <c r="I12" s="42">
        <v>1300802.7</v>
      </c>
    </row>
    <row r="13" spans="2:9" x14ac:dyDescent="0.25">
      <c r="B13" s="21">
        <v>10</v>
      </c>
      <c r="C13" s="12">
        <v>42659</v>
      </c>
      <c r="D13" s="51">
        <v>0.97222222222222221</v>
      </c>
      <c r="E13" s="67" t="s">
        <v>35</v>
      </c>
      <c r="F13" s="17">
        <v>3.66</v>
      </c>
      <c r="G13" s="46">
        <v>926265</v>
      </c>
      <c r="H13" s="49">
        <v>1.68791</v>
      </c>
      <c r="I13" s="42">
        <v>3131534.9</v>
      </c>
    </row>
    <row r="14" spans="2:9" x14ac:dyDescent="0.25">
      <c r="B14" s="21">
        <v>2</v>
      </c>
      <c r="C14" s="12">
        <v>42659</v>
      </c>
      <c r="D14" s="51">
        <v>0.64583333333333337</v>
      </c>
      <c r="E14" s="67" t="s">
        <v>36</v>
      </c>
      <c r="F14" s="17">
        <v>9.09</v>
      </c>
      <c r="G14" s="46">
        <v>1053731</v>
      </c>
      <c r="H14" s="49">
        <v>3.0303</v>
      </c>
      <c r="I14" s="42">
        <v>6387217</v>
      </c>
    </row>
    <row r="15" spans="2:9" x14ac:dyDescent="0.25">
      <c r="B15" s="21">
        <v>3</v>
      </c>
      <c r="C15" s="12">
        <v>42659</v>
      </c>
      <c r="D15" s="51">
        <v>0.64583333333333337</v>
      </c>
      <c r="E15" s="67" t="s">
        <v>36</v>
      </c>
      <c r="F15" s="17">
        <v>12.82</v>
      </c>
      <c r="G15" s="46">
        <v>909561</v>
      </c>
      <c r="H15" s="49">
        <v>3.0303</v>
      </c>
      <c r="I15" s="42">
        <v>5513653.4000000004</v>
      </c>
    </row>
    <row r="16" spans="2:9" x14ac:dyDescent="0.25">
      <c r="B16" s="21">
        <v>5</v>
      </c>
      <c r="C16" s="12">
        <v>42659</v>
      </c>
      <c r="D16" s="51">
        <v>0.64583333333333337</v>
      </c>
      <c r="E16" s="67" t="s">
        <v>36</v>
      </c>
      <c r="F16" s="17">
        <v>17.7</v>
      </c>
      <c r="G16" s="46">
        <v>474740</v>
      </c>
      <c r="H16" s="49">
        <v>3.0303</v>
      </c>
      <c r="I16" s="42">
        <v>2878067.3</v>
      </c>
    </row>
    <row r="17" spans="2:9" x14ac:dyDescent="0.25">
      <c r="B17" s="21">
        <v>6</v>
      </c>
      <c r="C17" s="12">
        <v>42659</v>
      </c>
      <c r="D17" s="51">
        <v>0.64583333333333337</v>
      </c>
      <c r="E17" s="67" t="s">
        <v>36</v>
      </c>
      <c r="F17" s="17">
        <v>14.53</v>
      </c>
      <c r="G17" s="46">
        <v>569570</v>
      </c>
      <c r="H17" s="49">
        <v>3.0303</v>
      </c>
      <c r="I17" s="42">
        <v>3453175.1</v>
      </c>
    </row>
    <row r="18" spans="2:9" x14ac:dyDescent="0.25">
      <c r="B18" s="21">
        <v>3</v>
      </c>
      <c r="C18" s="12">
        <v>42659</v>
      </c>
      <c r="D18" s="51">
        <v>0.97222222222222221</v>
      </c>
      <c r="E18" s="67" t="s">
        <v>36</v>
      </c>
      <c r="F18" s="17">
        <v>10.94</v>
      </c>
      <c r="G18" s="46">
        <v>975079</v>
      </c>
      <c r="H18" s="49">
        <v>3.0303</v>
      </c>
      <c r="I18" s="42">
        <v>5916381.5999999996</v>
      </c>
    </row>
    <row r="19" spans="2:9" x14ac:dyDescent="0.25">
      <c r="B19" s="21">
        <v>5</v>
      </c>
      <c r="C19" s="12">
        <v>42659</v>
      </c>
      <c r="D19" s="51">
        <v>0.97222222222222221</v>
      </c>
      <c r="E19" s="67" t="s">
        <v>36</v>
      </c>
      <c r="F19" s="17">
        <v>17.829999999999998</v>
      </c>
      <c r="G19" s="46">
        <v>401826</v>
      </c>
      <c r="H19" s="49">
        <v>3.0303</v>
      </c>
      <c r="I19" s="42">
        <v>2438328.5</v>
      </c>
    </row>
    <row r="20" spans="2:9" x14ac:dyDescent="0.25">
      <c r="B20" s="21">
        <v>6</v>
      </c>
      <c r="C20" s="12">
        <v>42659</v>
      </c>
      <c r="D20" s="51">
        <v>0.97222222222222221</v>
      </c>
      <c r="E20" s="67" t="s">
        <v>36</v>
      </c>
      <c r="F20" s="17">
        <v>11.07</v>
      </c>
      <c r="G20" s="46">
        <v>975076</v>
      </c>
      <c r="H20" s="49">
        <v>3.0303</v>
      </c>
      <c r="I20" s="42">
        <v>5917245.4000000004</v>
      </c>
    </row>
    <row r="21" spans="2:9" ht="15.75" thickBot="1" x14ac:dyDescent="0.3">
      <c r="B21" s="23"/>
      <c r="C21" s="24"/>
      <c r="D21" s="25"/>
      <c r="E21" s="68"/>
      <c r="F21" s="64"/>
      <c r="G21" s="65"/>
      <c r="H21" s="63"/>
      <c r="I21" s="43"/>
    </row>
    <row r="23" spans="2:9" x14ac:dyDescent="0.25">
      <c r="F23" s="39" t="s">
        <v>37</v>
      </c>
      <c r="G23" s="70">
        <f>SLOPE(F5:F13,I5:I13)</f>
        <v>1.3013273838150916E-6</v>
      </c>
      <c r="H23" s="70">
        <f>LINEST(F5:F13,I5:I13,FALSE)</f>
        <v>1.2885035473959681E-6</v>
      </c>
    </row>
    <row r="24" spans="2:9" x14ac:dyDescent="0.25">
      <c r="F24" s="39" t="s">
        <v>38</v>
      </c>
      <c r="G24" s="3">
        <f>INTERCEPT(F5:F13,I5:I13)</f>
        <v>-5.071461799273802E-2</v>
      </c>
    </row>
    <row r="26" spans="2:9" x14ac:dyDescent="0.25">
      <c r="G26" s="69"/>
    </row>
  </sheetData>
  <autoFilter ref="B3:I20" xr:uid="{00000000-0009-0000-0000-000004000000}">
    <filterColumn colId="3">
      <customFilters>
        <customFilter operator="notEqual" val=" "/>
      </customFilters>
    </filterColumn>
    <sortState xmlns:xlrd2="http://schemas.microsoft.com/office/spreadsheetml/2017/richdata2" ref="B6:I20">
      <sortCondition descending="1" ref="E3:E20"/>
    </sortState>
  </autoFilter>
  <mergeCells count="8">
    <mergeCell ref="I3:I4"/>
    <mergeCell ref="B3:B4"/>
    <mergeCell ref="C3:C4"/>
    <mergeCell ref="D3:D4"/>
    <mergeCell ref="F3:F4"/>
    <mergeCell ref="G3:G4"/>
    <mergeCell ref="H3:H4"/>
    <mergeCell ref="E3:E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1E14-CDE9-4FB9-AC2C-39D944AA9FD1}">
  <dimension ref="B1:CX53"/>
  <sheetViews>
    <sheetView showGridLines="0" tabSelected="1" zoomScaleNormal="100" workbookViewId="0">
      <selection activeCell="J11" sqref="J11"/>
    </sheetView>
  </sheetViews>
  <sheetFormatPr defaultRowHeight="15" x14ac:dyDescent="0.25"/>
  <cols>
    <col min="1" max="1" width="2.85546875" customWidth="1"/>
    <col min="2" max="2" width="23.5703125" bestFit="1" customWidth="1"/>
    <col min="3" max="5" width="7.85546875" customWidth="1"/>
    <col min="6" max="8" width="10" customWidth="1"/>
    <col min="9" max="9" width="8.5703125" customWidth="1"/>
    <col min="10" max="10" width="23.5703125" bestFit="1" customWidth="1"/>
    <col min="11" max="13" width="7.85546875" customWidth="1"/>
    <col min="14" max="17" width="10" customWidth="1"/>
    <col min="19" max="19" width="23.5703125" bestFit="1" customWidth="1"/>
    <col min="20" max="22" width="7.85546875" customWidth="1"/>
    <col min="23" max="25" width="10" customWidth="1"/>
    <col min="26" max="26" width="8.5703125" customWidth="1"/>
    <col min="27" max="27" width="23.5703125" bestFit="1" customWidth="1"/>
    <col min="28" max="30" width="7.85546875" customWidth="1"/>
    <col min="31" max="34" width="10" customWidth="1"/>
    <col min="36" max="36" width="23.5703125" bestFit="1" customWidth="1"/>
    <col min="37" max="39" width="7.85546875" customWidth="1"/>
    <col min="40" max="42" width="10" customWidth="1"/>
    <col min="43" max="43" width="8.5703125" customWidth="1"/>
    <col min="44" max="44" width="23.5703125" bestFit="1" customWidth="1"/>
    <col min="45" max="47" width="7.85546875" customWidth="1"/>
    <col min="48" max="51" width="10" customWidth="1"/>
    <col min="53" max="53" width="23.5703125" bestFit="1" customWidth="1"/>
    <col min="54" max="56" width="7.85546875" customWidth="1"/>
    <col min="57" max="59" width="10" customWidth="1"/>
    <col min="60" max="60" width="8.5703125" customWidth="1"/>
    <col min="61" max="61" width="23.5703125" bestFit="1" customWidth="1"/>
    <col min="62" max="64" width="7.85546875" customWidth="1"/>
    <col min="65" max="68" width="10" customWidth="1"/>
    <col min="70" max="70" width="23.5703125" bestFit="1" customWidth="1"/>
    <col min="71" max="73" width="7.85546875" customWidth="1"/>
    <col min="74" max="76" width="10" customWidth="1"/>
    <col min="77" max="77" width="8.5703125" customWidth="1"/>
    <col min="78" max="78" width="23.5703125" bestFit="1" customWidth="1"/>
    <col min="79" max="81" width="7.85546875" customWidth="1"/>
    <col min="82" max="85" width="10" customWidth="1"/>
    <col min="87" max="87" width="23.5703125" bestFit="1" customWidth="1"/>
    <col min="88" max="90" width="7.85546875" customWidth="1"/>
    <col min="91" max="93" width="10" customWidth="1"/>
    <col min="94" max="94" width="8.5703125" customWidth="1"/>
    <col min="95" max="95" width="23.5703125" bestFit="1" customWidth="1"/>
    <col min="96" max="98" width="7.85546875" customWidth="1"/>
    <col min="99" max="102" width="10" customWidth="1"/>
  </cols>
  <sheetData>
    <row r="1" spans="2:102" ht="36" x14ac:dyDescent="0.5">
      <c r="B1" s="240" t="s">
        <v>58</v>
      </c>
      <c r="J1" s="240"/>
      <c r="S1" s="240"/>
      <c r="AA1" s="240"/>
      <c r="AJ1" s="240"/>
      <c r="AR1" s="240"/>
      <c r="BA1" s="240"/>
      <c r="BI1" s="240"/>
      <c r="BR1" s="240"/>
      <c r="BZ1" s="240"/>
      <c r="CI1" s="240"/>
      <c r="CQ1" s="240"/>
    </row>
    <row r="2" spans="2:102" s="241" customFormat="1" ht="28.5" customHeight="1" x14ac:dyDescent="0.35">
      <c r="C2" s="242" t="s">
        <v>5</v>
      </c>
      <c r="D2" s="242"/>
      <c r="E2" s="242"/>
      <c r="F2" s="242"/>
      <c r="G2" s="242"/>
      <c r="H2" s="243"/>
      <c r="K2" s="244" t="s">
        <v>6</v>
      </c>
      <c r="L2" s="244"/>
      <c r="M2" s="244"/>
      <c r="N2" s="244"/>
      <c r="O2" s="244"/>
      <c r="P2" s="243"/>
      <c r="T2" s="242" t="s">
        <v>2</v>
      </c>
      <c r="U2" s="242"/>
      <c r="V2" s="242"/>
      <c r="W2" s="242"/>
      <c r="X2" s="242"/>
      <c r="Y2" s="243"/>
      <c r="AB2" s="244" t="s">
        <v>3</v>
      </c>
      <c r="AC2" s="244"/>
      <c r="AD2" s="244"/>
      <c r="AE2" s="244"/>
      <c r="AF2" s="244"/>
      <c r="AG2" s="243"/>
      <c r="AK2" s="242" t="s">
        <v>4</v>
      </c>
      <c r="AL2" s="242"/>
      <c r="AM2" s="242"/>
      <c r="AN2" s="242"/>
      <c r="AO2" s="242"/>
      <c r="AP2" s="243"/>
      <c r="AS2" s="244" t="s">
        <v>7</v>
      </c>
      <c r="AT2" s="244"/>
      <c r="AU2" s="244"/>
      <c r="AV2" s="244"/>
      <c r="AW2" s="244"/>
      <c r="AX2" s="243"/>
      <c r="BB2" s="242" t="s">
        <v>11</v>
      </c>
      <c r="BC2" s="242"/>
      <c r="BD2" s="242"/>
      <c r="BE2" s="242"/>
      <c r="BF2" s="242"/>
      <c r="BG2" s="243"/>
      <c r="BJ2" s="244" t="s">
        <v>9</v>
      </c>
      <c r="BK2" s="244"/>
      <c r="BL2" s="244"/>
      <c r="BM2" s="244"/>
      <c r="BN2" s="244"/>
      <c r="BO2" s="243"/>
      <c r="BS2" s="242" t="s">
        <v>45</v>
      </c>
      <c r="BT2" s="242"/>
      <c r="BU2" s="242"/>
      <c r="BV2" s="242"/>
      <c r="BW2" s="242"/>
      <c r="BX2" s="243"/>
      <c r="CA2" s="244" t="s">
        <v>10</v>
      </c>
      <c r="CB2" s="244"/>
      <c r="CC2" s="244"/>
      <c r="CD2" s="244"/>
      <c r="CE2" s="244"/>
      <c r="CF2" s="243"/>
      <c r="CJ2" s="242" t="s">
        <v>59</v>
      </c>
      <c r="CK2" s="242"/>
      <c r="CL2" s="242"/>
      <c r="CM2" s="242"/>
      <c r="CN2" s="242"/>
      <c r="CO2" s="243"/>
      <c r="CR2" s="244" t="s">
        <v>60</v>
      </c>
      <c r="CS2" s="244"/>
      <c r="CT2" s="244"/>
      <c r="CU2" s="244"/>
      <c r="CV2" s="244"/>
      <c r="CW2" s="243"/>
    </row>
    <row r="3" spans="2:102" ht="7.5" customHeight="1" x14ac:dyDescent="0.35">
      <c r="C3" s="245"/>
      <c r="D3" s="245"/>
      <c r="E3" s="245"/>
      <c r="F3" s="245"/>
      <c r="G3" s="245"/>
      <c r="H3" s="245"/>
      <c r="K3" s="245"/>
      <c r="L3" s="245"/>
      <c r="M3" s="245"/>
      <c r="N3" s="245"/>
      <c r="O3" s="245"/>
      <c r="P3" s="245"/>
      <c r="T3" s="245"/>
      <c r="U3" s="245"/>
      <c r="V3" s="245"/>
      <c r="W3" s="245"/>
      <c r="X3" s="245"/>
      <c r="Y3" s="245"/>
      <c r="AB3" s="245"/>
      <c r="AC3" s="245"/>
      <c r="AD3" s="245"/>
      <c r="AE3" s="245"/>
      <c r="AF3" s="245"/>
      <c r="AG3" s="245"/>
      <c r="AK3" s="245"/>
      <c r="AL3" s="245"/>
      <c r="AM3" s="245"/>
      <c r="AN3" s="245"/>
      <c r="AO3" s="245"/>
      <c r="AP3" s="245"/>
      <c r="AS3" s="245"/>
      <c r="AT3" s="245"/>
      <c r="AU3" s="245"/>
      <c r="AV3" s="245"/>
      <c r="AW3" s="245"/>
      <c r="AX3" s="245"/>
      <c r="BB3" s="245"/>
      <c r="BC3" s="245"/>
      <c r="BD3" s="245"/>
      <c r="BE3" s="245"/>
      <c r="BF3" s="245"/>
      <c r="BG3" s="245"/>
      <c r="BJ3" s="245"/>
      <c r="BK3" s="245"/>
      <c r="BL3" s="245"/>
      <c r="BM3" s="245"/>
      <c r="BN3" s="245"/>
      <c r="BO3" s="245"/>
      <c r="BS3" s="245"/>
      <c r="BT3" s="245"/>
      <c r="BU3" s="245"/>
      <c r="BV3" s="245"/>
      <c r="BW3" s="245"/>
      <c r="BX3" s="245"/>
      <c r="CA3" s="245"/>
      <c r="CB3" s="245"/>
      <c r="CC3" s="245"/>
      <c r="CD3" s="245"/>
      <c r="CE3" s="245"/>
      <c r="CF3" s="245"/>
      <c r="CJ3" s="245"/>
      <c r="CK3" s="245"/>
      <c r="CL3" s="245"/>
      <c r="CM3" s="245"/>
      <c r="CN3" s="245"/>
      <c r="CO3" s="245"/>
      <c r="CR3" s="245"/>
      <c r="CS3" s="245"/>
      <c r="CT3" s="245"/>
      <c r="CU3" s="245"/>
      <c r="CV3" s="245"/>
      <c r="CW3" s="245"/>
    </row>
    <row r="4" spans="2:102" ht="7.5" customHeight="1" x14ac:dyDescent="0.35">
      <c r="C4" s="245"/>
      <c r="D4" s="245"/>
      <c r="E4" s="245"/>
      <c r="F4" s="245"/>
      <c r="G4" s="245"/>
      <c r="H4" s="245"/>
      <c r="K4" s="245"/>
      <c r="L4" s="245"/>
      <c r="M4" s="245"/>
      <c r="N4" s="245"/>
      <c r="O4" s="245"/>
      <c r="P4" s="245"/>
      <c r="T4" s="245"/>
      <c r="U4" s="245"/>
      <c r="V4" s="245"/>
      <c r="W4" s="245"/>
      <c r="X4" s="245"/>
      <c r="Y4" s="245"/>
      <c r="AB4" s="245"/>
      <c r="AC4" s="245"/>
      <c r="AD4" s="245"/>
      <c r="AE4" s="245"/>
      <c r="AF4" s="245"/>
      <c r="AG4" s="245"/>
      <c r="AK4" s="245"/>
      <c r="AL4" s="245"/>
      <c r="AM4" s="245"/>
      <c r="AN4" s="245"/>
      <c r="AO4" s="245"/>
      <c r="AP4" s="245"/>
      <c r="AS4" s="245"/>
      <c r="AT4" s="245"/>
      <c r="AU4" s="245"/>
      <c r="AV4" s="245"/>
      <c r="AW4" s="245"/>
      <c r="AX4" s="245"/>
      <c r="BB4" s="245"/>
      <c r="BC4" s="245"/>
      <c r="BD4" s="245"/>
      <c r="BE4" s="245"/>
      <c r="BF4" s="245"/>
      <c r="BG4" s="245"/>
      <c r="BJ4" s="245"/>
      <c r="BK4" s="245"/>
      <c r="BL4" s="245"/>
      <c r="BM4" s="245"/>
      <c r="BN4" s="245"/>
      <c r="BO4" s="245"/>
      <c r="BS4" s="245"/>
      <c r="BT4" s="245"/>
      <c r="BU4" s="245"/>
      <c r="BV4" s="245"/>
      <c r="BW4" s="245"/>
      <c r="BX4" s="245"/>
      <c r="CA4" s="245"/>
      <c r="CB4" s="245"/>
      <c r="CC4" s="245"/>
      <c r="CD4" s="245"/>
      <c r="CE4" s="245"/>
      <c r="CF4" s="245"/>
      <c r="CJ4" s="245"/>
      <c r="CK4" s="245"/>
      <c r="CL4" s="245"/>
      <c r="CM4" s="245"/>
      <c r="CN4" s="245"/>
      <c r="CO4" s="245"/>
      <c r="CR4" s="245"/>
      <c r="CS4" s="245"/>
      <c r="CT4" s="245"/>
      <c r="CU4" s="245"/>
      <c r="CV4" s="245"/>
      <c r="CW4" s="245"/>
    </row>
    <row r="5" spans="2:102" ht="19.5" thickBot="1" x14ac:dyDescent="0.35">
      <c r="B5" s="246" t="s">
        <v>61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7"/>
      <c r="S5" s="246" t="s">
        <v>61</v>
      </c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7"/>
      <c r="AJ5" s="246" t="s">
        <v>61</v>
      </c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7"/>
      <c r="BA5" s="246" t="s">
        <v>61</v>
      </c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7"/>
      <c r="BR5" s="246" t="s">
        <v>61</v>
      </c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7"/>
      <c r="CI5" s="246" t="s">
        <v>61</v>
      </c>
      <c r="CJ5" s="246"/>
      <c r="CK5" s="246"/>
      <c r="CL5" s="246"/>
      <c r="CM5" s="246"/>
      <c r="CN5" s="246"/>
      <c r="CO5" s="246"/>
      <c r="CP5" s="246"/>
      <c r="CQ5" s="246"/>
      <c r="CR5" s="246"/>
      <c r="CS5" s="246"/>
      <c r="CT5" s="246"/>
      <c r="CU5" s="246"/>
      <c r="CV5" s="246"/>
      <c r="CW5" s="246"/>
      <c r="CX5" s="247"/>
    </row>
    <row r="6" spans="2:102" ht="7.5" customHeight="1" x14ac:dyDescent="0.3"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  <c r="BN6" s="248"/>
      <c r="BO6" s="248"/>
      <c r="BR6" s="248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</row>
    <row r="7" spans="2:102" x14ac:dyDescent="0.25">
      <c r="B7" s="249" t="s">
        <v>62</v>
      </c>
      <c r="C7" s="250" t="s">
        <v>63</v>
      </c>
      <c r="D7" s="250" t="s">
        <v>64</v>
      </c>
      <c r="E7" s="250" t="s">
        <v>65</v>
      </c>
      <c r="F7" s="250" t="s">
        <v>66</v>
      </c>
      <c r="G7" s="250" t="s">
        <v>67</v>
      </c>
      <c r="H7" s="251" t="s">
        <v>68</v>
      </c>
      <c r="J7" s="249" t="s">
        <v>62</v>
      </c>
      <c r="K7" s="250" t="s">
        <v>63</v>
      </c>
      <c r="L7" s="250" t="s">
        <v>64</v>
      </c>
      <c r="M7" s="250" t="s">
        <v>65</v>
      </c>
      <c r="N7" s="250" t="s">
        <v>66</v>
      </c>
      <c r="O7" s="250" t="s">
        <v>67</v>
      </c>
      <c r="P7" s="251" t="s">
        <v>68</v>
      </c>
      <c r="S7" s="249" t="s">
        <v>62</v>
      </c>
      <c r="T7" s="250" t="s">
        <v>63</v>
      </c>
      <c r="U7" s="250" t="s">
        <v>64</v>
      </c>
      <c r="V7" s="250" t="s">
        <v>65</v>
      </c>
      <c r="W7" s="250" t="s">
        <v>66</v>
      </c>
      <c r="X7" s="250" t="s">
        <v>67</v>
      </c>
      <c r="Y7" s="251" t="s">
        <v>68</v>
      </c>
      <c r="AA7" s="249" t="s">
        <v>62</v>
      </c>
      <c r="AB7" s="250" t="s">
        <v>63</v>
      </c>
      <c r="AC7" s="250" t="s">
        <v>64</v>
      </c>
      <c r="AD7" s="250" t="s">
        <v>65</v>
      </c>
      <c r="AE7" s="250" t="s">
        <v>66</v>
      </c>
      <c r="AF7" s="250" t="s">
        <v>67</v>
      </c>
      <c r="AG7" s="251" t="s">
        <v>68</v>
      </c>
      <c r="AJ7" s="249" t="s">
        <v>62</v>
      </c>
      <c r="AK7" s="250" t="s">
        <v>63</v>
      </c>
      <c r="AL7" s="250" t="s">
        <v>64</v>
      </c>
      <c r="AM7" s="250" t="s">
        <v>65</v>
      </c>
      <c r="AN7" s="250" t="s">
        <v>66</v>
      </c>
      <c r="AO7" s="250" t="s">
        <v>67</v>
      </c>
      <c r="AP7" s="251" t="s">
        <v>68</v>
      </c>
      <c r="AR7" s="249" t="s">
        <v>62</v>
      </c>
      <c r="AS7" s="250" t="s">
        <v>63</v>
      </c>
      <c r="AT7" s="250" t="s">
        <v>64</v>
      </c>
      <c r="AU7" s="250" t="s">
        <v>65</v>
      </c>
      <c r="AV7" s="250" t="s">
        <v>66</v>
      </c>
      <c r="AW7" s="250" t="s">
        <v>67</v>
      </c>
      <c r="AX7" s="251" t="s">
        <v>68</v>
      </c>
      <c r="BA7" s="249" t="s">
        <v>62</v>
      </c>
      <c r="BB7" s="250" t="s">
        <v>63</v>
      </c>
      <c r="BC7" s="250" t="s">
        <v>64</v>
      </c>
      <c r="BD7" s="250" t="s">
        <v>65</v>
      </c>
      <c r="BE7" s="250" t="s">
        <v>66</v>
      </c>
      <c r="BF7" s="250" t="s">
        <v>67</v>
      </c>
      <c r="BG7" s="251" t="s">
        <v>68</v>
      </c>
      <c r="BI7" s="249" t="s">
        <v>62</v>
      </c>
      <c r="BJ7" s="250" t="s">
        <v>63</v>
      </c>
      <c r="BK7" s="250" t="s">
        <v>64</v>
      </c>
      <c r="BL7" s="250" t="s">
        <v>65</v>
      </c>
      <c r="BM7" s="250" t="s">
        <v>66</v>
      </c>
      <c r="BN7" s="250" t="s">
        <v>67</v>
      </c>
      <c r="BO7" s="251" t="s">
        <v>68</v>
      </c>
      <c r="BR7" s="249" t="s">
        <v>62</v>
      </c>
      <c r="BS7" s="250" t="s">
        <v>63</v>
      </c>
      <c r="BT7" s="250" t="s">
        <v>64</v>
      </c>
      <c r="BU7" s="250" t="s">
        <v>65</v>
      </c>
      <c r="BV7" s="250" t="s">
        <v>66</v>
      </c>
      <c r="BW7" s="250" t="s">
        <v>67</v>
      </c>
      <c r="BX7" s="251" t="s">
        <v>68</v>
      </c>
      <c r="BZ7" s="249" t="s">
        <v>62</v>
      </c>
      <c r="CA7" s="250" t="s">
        <v>63</v>
      </c>
      <c r="CB7" s="250" t="s">
        <v>64</v>
      </c>
      <c r="CC7" s="250" t="s">
        <v>65</v>
      </c>
      <c r="CD7" s="250" t="s">
        <v>66</v>
      </c>
      <c r="CE7" s="250" t="s">
        <v>67</v>
      </c>
      <c r="CF7" s="251" t="s">
        <v>68</v>
      </c>
      <c r="CI7" s="249" t="s">
        <v>62</v>
      </c>
      <c r="CJ7" s="250" t="s">
        <v>63</v>
      </c>
      <c r="CK7" s="250" t="s">
        <v>64</v>
      </c>
      <c r="CL7" s="250" t="s">
        <v>65</v>
      </c>
      <c r="CM7" s="250" t="s">
        <v>66</v>
      </c>
      <c r="CN7" s="250" t="s">
        <v>67</v>
      </c>
      <c r="CO7" s="251" t="s">
        <v>68</v>
      </c>
      <c r="CQ7" s="249" t="s">
        <v>62</v>
      </c>
      <c r="CR7" s="250" t="s">
        <v>63</v>
      </c>
      <c r="CS7" s="250" t="s">
        <v>64</v>
      </c>
      <c r="CT7" s="250" t="s">
        <v>65</v>
      </c>
      <c r="CU7" s="250" t="s">
        <v>66</v>
      </c>
      <c r="CV7" s="250" t="s">
        <v>67</v>
      </c>
      <c r="CW7" s="251" t="s">
        <v>68</v>
      </c>
    </row>
    <row r="8" spans="2:102" x14ac:dyDescent="0.25">
      <c r="B8" s="252">
        <v>24</v>
      </c>
      <c r="C8" s="253">
        <v>1.8437544343265907E-3</v>
      </c>
      <c r="D8" s="253">
        <v>1.2367948811904952E-3</v>
      </c>
      <c r="E8" s="253">
        <v>5.6397485857412051E-4</v>
      </c>
      <c r="F8" s="253">
        <v>1.057869973158826E-3</v>
      </c>
      <c r="G8" s="253"/>
      <c r="H8" s="254">
        <f>AVERAGE(C8:G8)</f>
        <v>1.175598536812508E-3</v>
      </c>
      <c r="J8" s="252">
        <v>24</v>
      </c>
      <c r="K8" s="255">
        <v>4.0830847895020842E-3</v>
      </c>
      <c r="L8" s="255">
        <v>3.1385262660471483E-3</v>
      </c>
      <c r="M8" s="255">
        <v>9.8309815473489781E-4</v>
      </c>
      <c r="N8" s="255">
        <v>1.5112104316635077E-3</v>
      </c>
      <c r="O8" s="255"/>
      <c r="P8" s="256">
        <f>AVERAGE(K8:O8)</f>
        <v>2.4289799104869098E-3</v>
      </c>
      <c r="S8" s="252">
        <v>24</v>
      </c>
      <c r="T8" s="253">
        <v>4.7729187749076014E-4</v>
      </c>
      <c r="U8" s="253">
        <v>1.8797505078161022E-3</v>
      </c>
      <c r="V8" s="253">
        <v>9.1631173627514876E-4</v>
      </c>
      <c r="W8" s="253">
        <v>2.0106433737851655E-3</v>
      </c>
      <c r="X8" s="253"/>
      <c r="Y8" s="254">
        <f>AVERAGE(T8:X8)</f>
        <v>1.3209993738417941E-3</v>
      </c>
      <c r="AA8" s="252">
        <v>24</v>
      </c>
      <c r="AB8" s="255">
        <v>3.8660222459461118E-3</v>
      </c>
      <c r="AC8" s="255">
        <v>2.1986736545293655E-3</v>
      </c>
      <c r="AD8" s="255">
        <v>7.2494326566874593E-4</v>
      </c>
      <c r="AE8" s="255">
        <v>2.1007148250434598E-3</v>
      </c>
      <c r="AF8" s="255"/>
      <c r="AG8" s="256">
        <f>AVERAGE(AB8:AF8)</f>
        <v>2.222588497796921E-3</v>
      </c>
      <c r="AJ8" s="252">
        <v>24</v>
      </c>
      <c r="AK8" s="253">
        <v>8.5983767242931008E-3</v>
      </c>
      <c r="AL8" s="253">
        <v>1.4685011994278539E-3</v>
      </c>
      <c r="AM8" s="253">
        <v>7.6232390804161166E-5</v>
      </c>
      <c r="AN8" s="253">
        <v>4.0983459921833232E-4</v>
      </c>
      <c r="AO8" s="253"/>
      <c r="AP8" s="254">
        <f>AVERAGE(AK8:AO8)</f>
        <v>2.6382362284358618E-3</v>
      </c>
      <c r="AR8" s="252">
        <v>24</v>
      </c>
      <c r="AS8" s="255">
        <v>1.1226908932333675E-3</v>
      </c>
      <c r="AT8" s="255">
        <v>6.2196884200730789E-3</v>
      </c>
      <c r="AU8" s="255">
        <v>3.7250341291002577E-3</v>
      </c>
      <c r="AV8" s="255">
        <v>1.5318002401981568E-3</v>
      </c>
      <c r="AW8" s="255"/>
      <c r="AX8" s="256">
        <f>AVERAGE(AS8:AW8)</f>
        <v>3.1498034206512149E-3</v>
      </c>
      <c r="BA8" s="252">
        <v>24</v>
      </c>
      <c r="BB8" s="253">
        <v>1.3242927306228241E-3</v>
      </c>
      <c r="BC8" s="253">
        <v>8.6870179017641547E-3</v>
      </c>
      <c r="BD8" s="253">
        <v>1.9621819610071397E-3</v>
      </c>
      <c r="BE8" s="253">
        <v>2.3647382899131151E-3</v>
      </c>
      <c r="BF8" s="253"/>
      <c r="BG8" s="254">
        <f>AVERAGE(BB8:BF8)</f>
        <v>3.5845577208268083E-3</v>
      </c>
      <c r="BI8" s="252">
        <v>24</v>
      </c>
      <c r="BJ8" s="255">
        <v>2.9630683288550751E-2</v>
      </c>
      <c r="BK8" s="255">
        <v>0.18463156743242842</v>
      </c>
      <c r="BL8" s="255">
        <v>2.1471458545336927E-2</v>
      </c>
      <c r="BM8" s="255">
        <v>7.7726771668394104E-2</v>
      </c>
      <c r="BN8" s="255"/>
      <c r="BO8" s="256">
        <f>AVERAGE(BJ8:BN8)</f>
        <v>7.8365120233677546E-2</v>
      </c>
      <c r="BR8" s="252">
        <v>24</v>
      </c>
      <c r="BS8" s="253">
        <v>8.6095777617647959E-2</v>
      </c>
      <c r="BT8" s="253">
        <v>0.15027973425360766</v>
      </c>
      <c r="BU8" s="253">
        <v>5.6156449716430147E-3</v>
      </c>
      <c r="BV8" s="253">
        <v>7.73750688736772E-3</v>
      </c>
      <c r="BW8" s="253"/>
      <c r="BX8" s="254">
        <f>AVERAGE(BS8:BW8)</f>
        <v>6.2432165932566584E-2</v>
      </c>
      <c r="BZ8" s="252">
        <v>24</v>
      </c>
      <c r="CA8" s="255">
        <v>1.994813729270695E-2</v>
      </c>
      <c r="CB8" s="255">
        <v>5.6647893150803055E-2</v>
      </c>
      <c r="CC8" s="255">
        <v>6.1370744325075525E-3</v>
      </c>
      <c r="CD8" s="255">
        <v>0.12577305312006565</v>
      </c>
      <c r="CE8" s="255"/>
      <c r="CF8" s="256">
        <f>AVERAGE(CA8:CE8)</f>
        <v>5.2126539499020796E-2</v>
      </c>
      <c r="CI8" s="252">
        <v>24</v>
      </c>
      <c r="CJ8" s="253">
        <v>3.2454751886268674E-3</v>
      </c>
      <c r="CK8" s="253">
        <v>3.6084155645050831E-3</v>
      </c>
      <c r="CL8" s="253">
        <v>6.6955590865671591E-4</v>
      </c>
      <c r="CM8" s="253">
        <v>7.5243623510135894E-3</v>
      </c>
      <c r="CN8" s="253"/>
      <c r="CO8" s="254">
        <f>AVERAGE(CJ8:CN8)</f>
        <v>3.7619522532005641E-3</v>
      </c>
      <c r="CQ8" s="252">
        <v>24</v>
      </c>
      <c r="CR8" s="255">
        <v>1.0783190648321957E-2</v>
      </c>
      <c r="CS8" s="255">
        <v>5.9229541665980759E-3</v>
      </c>
      <c r="CT8" s="255">
        <v>4.920194814715121E-3</v>
      </c>
      <c r="CU8" s="255">
        <v>7.7824697777253149E-3</v>
      </c>
      <c r="CV8" s="255"/>
      <c r="CW8" s="256">
        <f>AVERAGE(CR8:CV8)</f>
        <v>7.3522023518401173E-3</v>
      </c>
    </row>
    <row r="9" spans="2:102" x14ac:dyDescent="0.25">
      <c r="B9" s="252">
        <v>48</v>
      </c>
      <c r="C9" s="253">
        <v>9.7260748703262788E-4</v>
      </c>
      <c r="D9" s="253">
        <v>3.9989158823372175E-4</v>
      </c>
      <c r="E9" s="253">
        <v>2.0185486762820649E-3</v>
      </c>
      <c r="F9" s="253">
        <v>3.2493442500273903E-4</v>
      </c>
      <c r="G9" s="253"/>
      <c r="H9" s="254">
        <f t="shared" ref="H9:H11" si="0">AVERAGE(C9:G9)</f>
        <v>9.2899554413778838E-4</v>
      </c>
      <c r="J9" s="252">
        <v>48</v>
      </c>
      <c r="K9" s="255">
        <v>2.2524383958374152E-3</v>
      </c>
      <c r="L9" s="255">
        <v>6.5160553048783441E-4</v>
      </c>
      <c r="M9" s="255">
        <v>6.5378607077317911E-3</v>
      </c>
      <c r="N9" s="255">
        <v>5.805111324503593E-4</v>
      </c>
      <c r="O9" s="255"/>
      <c r="P9" s="256">
        <f t="shared" ref="P9:P11" si="1">AVERAGE(K9:O9)</f>
        <v>2.5056039416268498E-3</v>
      </c>
      <c r="S9" s="252">
        <v>48</v>
      </c>
      <c r="T9" s="253">
        <v>9.4655625110341614E-4</v>
      </c>
      <c r="U9" s="253">
        <v>6.0234760117713253E-4</v>
      </c>
      <c r="V9" s="253">
        <v>1.1769055631686317E-3</v>
      </c>
      <c r="W9" s="253">
        <v>3.7111255720939271E-4</v>
      </c>
      <c r="X9" s="253"/>
      <c r="Y9" s="254">
        <f t="shared" ref="Y9:Y11" si="2">AVERAGE(T9:X9)</f>
        <v>7.7423049316464323E-4</v>
      </c>
      <c r="AA9" s="252">
        <v>48</v>
      </c>
      <c r="AB9" s="255">
        <v>5.5098311371124279E-3</v>
      </c>
      <c r="AC9" s="255">
        <v>4.1546368529196676E-4</v>
      </c>
      <c r="AD9" s="255">
        <v>4.7549720797429081E-3</v>
      </c>
      <c r="AE9" s="255">
        <v>2.7009366697217261E-3</v>
      </c>
      <c r="AF9" s="255"/>
      <c r="AG9" s="256">
        <f t="shared" ref="AG9:AG11" si="3">AVERAGE(AB9:AF9)</f>
        <v>3.3453008929672573E-3</v>
      </c>
      <c r="AJ9" s="252">
        <v>48</v>
      </c>
      <c r="AK9" s="253">
        <v>1.851474637305537E-3</v>
      </c>
      <c r="AL9" s="253">
        <v>1.8221182487358642E-4</v>
      </c>
      <c r="AM9" s="253">
        <v>0.12769825668394338</v>
      </c>
      <c r="AN9" s="253">
        <v>1.7828869874509281E-3</v>
      </c>
      <c r="AO9" s="253"/>
      <c r="AP9" s="254">
        <f t="shared" ref="AP9:AP11" si="4">AVERAGE(AK9:AO9)</f>
        <v>3.2878707533393364E-2</v>
      </c>
      <c r="AR9" s="252">
        <v>48</v>
      </c>
      <c r="AS9" s="255">
        <v>5.3902544474493412E-3</v>
      </c>
      <c r="AT9" s="255">
        <v>6.1911611127844269E-4</v>
      </c>
      <c r="AU9" s="255">
        <v>3.3646161651102735E-3</v>
      </c>
      <c r="AV9" s="255">
        <v>1.2767527706036156E-3</v>
      </c>
      <c r="AW9" s="255"/>
      <c r="AX9" s="256">
        <f t="shared" ref="AX9:AX11" si="5">AVERAGE(AS9:AW9)</f>
        <v>2.6626848736104177E-3</v>
      </c>
      <c r="BA9" s="252">
        <v>48</v>
      </c>
      <c r="BB9" s="253">
        <v>4.5041770658558493E-3</v>
      </c>
      <c r="BC9" s="253">
        <v>4.1885770280830322E-3</v>
      </c>
      <c r="BD9" s="253">
        <v>3.9635794482724496E-3</v>
      </c>
      <c r="BE9" s="253">
        <v>1.3087846147203485E-3</v>
      </c>
      <c r="BF9" s="253"/>
      <c r="BG9" s="254">
        <f t="shared" ref="BG9:BG11" si="6">AVERAGE(BB9:BF9)</f>
        <v>3.4912795392329195E-3</v>
      </c>
      <c r="BI9" s="252">
        <v>48</v>
      </c>
      <c r="BJ9" s="255">
        <v>9.2983394560423635E-2</v>
      </c>
      <c r="BK9" s="255">
        <v>8.3080285385094335E-2</v>
      </c>
      <c r="BL9" s="255">
        <v>2.8889796654265845E-2</v>
      </c>
      <c r="BM9" s="255">
        <v>3.3742650556205919E-3</v>
      </c>
      <c r="BN9" s="255"/>
      <c r="BO9" s="256">
        <f t="shared" ref="BO9:BO11" si="7">AVERAGE(BJ9:BN9)</f>
        <v>5.2081935413851095E-2</v>
      </c>
      <c r="BR9" s="252">
        <v>48</v>
      </c>
      <c r="BS9" s="253">
        <v>0.14804495176630378</v>
      </c>
      <c r="BT9" s="253">
        <v>1.9583679195809204E-3</v>
      </c>
      <c r="BU9" s="253">
        <v>1.3044714283565254E-2</v>
      </c>
      <c r="BV9" s="253">
        <v>3.120740097772504E-3</v>
      </c>
      <c r="BW9" s="253"/>
      <c r="BX9" s="254">
        <f t="shared" ref="BX9:BX11" si="8">AVERAGE(BS9:BW9)</f>
        <v>4.154219351680561E-2</v>
      </c>
      <c r="BZ9" s="252">
        <v>48</v>
      </c>
      <c r="CA9" s="255">
        <v>1.4648953292790447E-2</v>
      </c>
      <c r="CB9" s="255">
        <v>5.7667496244275364E-3</v>
      </c>
      <c r="CC9" s="255">
        <v>2.5725751862653416E-2</v>
      </c>
      <c r="CD9" s="255">
        <v>2.9522983851476298E-3</v>
      </c>
      <c r="CE9" s="255"/>
      <c r="CF9" s="256">
        <f t="shared" ref="CF9:CF11" si="9">AVERAGE(CA9:CE9)</f>
        <v>1.2273438291254758E-2</v>
      </c>
      <c r="CI9" s="252">
        <v>48</v>
      </c>
      <c r="CJ9" s="253">
        <v>3.0318312818088475E-3</v>
      </c>
      <c r="CK9" s="253">
        <v>5.1338321546278082E-4</v>
      </c>
      <c r="CL9" s="253">
        <v>2.4672753866584241E-3</v>
      </c>
      <c r="CM9" s="253">
        <v>1.5358951991280886E-3</v>
      </c>
      <c r="CN9" s="253"/>
      <c r="CO9" s="254">
        <f t="shared" ref="CO9:CO11" si="10">AVERAGE(CJ9:CN9)</f>
        <v>1.8870962707645354E-3</v>
      </c>
      <c r="CQ9" s="252">
        <v>48</v>
      </c>
      <c r="CR9" s="255">
        <v>1.9681202099404841E-3</v>
      </c>
      <c r="CS9" s="255">
        <v>8.2715205219205509E-4</v>
      </c>
      <c r="CT9" s="255">
        <v>3.5328136727479807E-3</v>
      </c>
      <c r="CU9" s="255">
        <v>1.3015047239599822E-3</v>
      </c>
      <c r="CV9" s="255"/>
      <c r="CW9" s="256">
        <f t="shared" ref="CW9:CW11" si="11">AVERAGE(CR9:CV9)</f>
        <v>1.9073976647101256E-3</v>
      </c>
    </row>
    <row r="10" spans="2:102" x14ac:dyDescent="0.25">
      <c r="B10" s="252">
        <v>72</v>
      </c>
      <c r="C10" s="253">
        <v>1.9293434270196302E-4</v>
      </c>
      <c r="D10" s="253">
        <v>1.225635888949324E-4</v>
      </c>
      <c r="E10" s="253"/>
      <c r="F10" s="253"/>
      <c r="G10" s="253"/>
      <c r="H10" s="254">
        <f t="shared" si="0"/>
        <v>1.5774896579844771E-4</v>
      </c>
      <c r="J10" s="252">
        <v>72</v>
      </c>
      <c r="K10" s="255">
        <v>3.1576160437303194E-4</v>
      </c>
      <c r="L10" s="255">
        <v>2.0727600619017719E-4</v>
      </c>
      <c r="M10" s="255"/>
      <c r="N10" s="255"/>
      <c r="O10" s="255"/>
      <c r="P10" s="256">
        <f t="shared" si="1"/>
        <v>2.6151880528160455E-4</v>
      </c>
      <c r="S10" s="252">
        <v>72</v>
      </c>
      <c r="T10" s="253">
        <v>2.0095772252503051E-4</v>
      </c>
      <c r="U10" s="253">
        <v>1.2219118127741963E-4</v>
      </c>
      <c r="V10" s="253"/>
      <c r="W10" s="253"/>
      <c r="X10" s="253"/>
      <c r="Y10" s="254">
        <f t="shared" si="2"/>
        <v>1.6157445190122507E-4</v>
      </c>
      <c r="AA10" s="252">
        <v>72</v>
      </c>
      <c r="AB10" s="255">
        <v>3.8986643612251348E-4</v>
      </c>
      <c r="AC10" s="255">
        <v>2.9908891999531401E-4</v>
      </c>
      <c r="AD10" s="255"/>
      <c r="AE10" s="255"/>
      <c r="AF10" s="255"/>
      <c r="AG10" s="256">
        <f t="shared" si="3"/>
        <v>3.4447767805891375E-4</v>
      </c>
      <c r="AJ10" s="252">
        <v>72</v>
      </c>
      <c r="AK10" s="253">
        <v>1.0735014308807185E-4</v>
      </c>
      <c r="AL10" s="253">
        <v>7.070187251054557E-5</v>
      </c>
      <c r="AM10" s="253"/>
      <c r="AN10" s="253"/>
      <c r="AO10" s="253"/>
      <c r="AP10" s="254">
        <f t="shared" si="4"/>
        <v>8.9026007799308709E-5</v>
      </c>
      <c r="AR10" s="252">
        <v>72</v>
      </c>
      <c r="AS10" s="255">
        <v>8.5747445642900689E-4</v>
      </c>
      <c r="AT10" s="255">
        <v>6.0074384463713545E-4</v>
      </c>
      <c r="AU10" s="255"/>
      <c r="AV10" s="255"/>
      <c r="AW10" s="255"/>
      <c r="AX10" s="256">
        <f t="shared" si="5"/>
        <v>7.2910915053307117E-4</v>
      </c>
      <c r="BA10" s="252">
        <v>72</v>
      </c>
      <c r="BB10" s="253">
        <v>2.9426021572923513E-3</v>
      </c>
      <c r="BC10" s="253">
        <v>1.1337156860886141E-3</v>
      </c>
      <c r="BD10" s="253"/>
      <c r="BE10" s="253"/>
      <c r="BF10" s="253"/>
      <c r="BG10" s="254">
        <f t="shared" si="6"/>
        <v>2.0381589216904826E-3</v>
      </c>
      <c r="BI10" s="252">
        <v>72</v>
      </c>
      <c r="BJ10" s="255">
        <v>0.13511229913225453</v>
      </c>
      <c r="BK10" s="255">
        <v>1.0853843498277423E-2</v>
      </c>
      <c r="BL10" s="255"/>
      <c r="BM10" s="255"/>
      <c r="BN10" s="255"/>
      <c r="BO10" s="256">
        <f t="shared" si="7"/>
        <v>7.2983071315265977E-2</v>
      </c>
      <c r="BR10" s="252">
        <v>72</v>
      </c>
      <c r="BS10" s="253">
        <v>0.19223585430758755</v>
      </c>
      <c r="BT10" s="253">
        <v>1.1788072332672085E-3</v>
      </c>
      <c r="BU10" s="253"/>
      <c r="BV10" s="253"/>
      <c r="BW10" s="253"/>
      <c r="BX10" s="254">
        <f t="shared" si="8"/>
        <v>9.6707330770427383E-2</v>
      </c>
      <c r="BZ10" s="252">
        <v>72</v>
      </c>
      <c r="CA10" s="255">
        <v>2.2214625204468454E-2</v>
      </c>
      <c r="CB10" s="255">
        <v>6.6714831545905129E-3</v>
      </c>
      <c r="CC10" s="255"/>
      <c r="CD10" s="255"/>
      <c r="CE10" s="255"/>
      <c r="CF10" s="256">
        <f t="shared" si="9"/>
        <v>1.4443054179529484E-2</v>
      </c>
      <c r="CI10" s="252">
        <v>72</v>
      </c>
      <c r="CJ10" s="253">
        <v>6.1116532892389463E-4</v>
      </c>
      <c r="CK10" s="253">
        <v>1.8684794053105505E-4</v>
      </c>
      <c r="CL10" s="253"/>
      <c r="CM10" s="253"/>
      <c r="CN10" s="253"/>
      <c r="CO10" s="254">
        <f t="shared" si="10"/>
        <v>3.9900663472747482E-4</v>
      </c>
      <c r="CQ10" s="252">
        <v>72</v>
      </c>
      <c r="CR10" s="255">
        <v>3.7798698784100645E-4</v>
      </c>
      <c r="CS10" s="255">
        <v>2.4472562410484707E-4</v>
      </c>
      <c r="CT10" s="255"/>
      <c r="CU10" s="255"/>
      <c r="CV10" s="255"/>
      <c r="CW10" s="256">
        <f t="shared" si="11"/>
        <v>3.1135630597292673E-4</v>
      </c>
    </row>
    <row r="11" spans="2:102" x14ac:dyDescent="0.25">
      <c r="B11" s="252">
        <v>216</v>
      </c>
      <c r="C11" s="253">
        <v>1.1447216098791114E-3</v>
      </c>
      <c r="D11" s="253">
        <v>2.7417107422797465E-4</v>
      </c>
      <c r="E11" s="253">
        <v>1.759799059309862E-4</v>
      </c>
      <c r="F11" s="253">
        <v>1.0253864969821214E-4</v>
      </c>
      <c r="G11" s="253"/>
      <c r="H11" s="254">
        <f t="shared" si="0"/>
        <v>4.2435280993407111E-4</v>
      </c>
      <c r="J11" s="252">
        <v>216</v>
      </c>
      <c r="K11" s="255">
        <v>2.1851012259769924E-3</v>
      </c>
      <c r="L11" s="255">
        <v>8.6222690935707088E-4</v>
      </c>
      <c r="M11" s="255">
        <v>3.5365917676378041E-4</v>
      </c>
      <c r="N11" s="255">
        <v>2.5249867783518287E-4</v>
      </c>
      <c r="O11" s="255"/>
      <c r="P11" s="256">
        <f t="shared" si="1"/>
        <v>9.1337149748325658E-4</v>
      </c>
      <c r="S11" s="252">
        <v>216</v>
      </c>
      <c r="T11" s="253">
        <v>2.3664959536102688E-4</v>
      </c>
      <c r="U11" s="253">
        <v>3.2331405396481721E-4</v>
      </c>
      <c r="V11" s="253">
        <v>1.7972130501596215E-4</v>
      </c>
      <c r="W11" s="253">
        <v>1.0048402481860688E-4</v>
      </c>
      <c r="X11" s="253"/>
      <c r="Y11" s="254">
        <f t="shared" si="2"/>
        <v>2.1004224479010327E-4</v>
      </c>
      <c r="AA11" s="252">
        <v>216</v>
      </c>
      <c r="AB11" s="255">
        <v>5.021474723389545E-3</v>
      </c>
      <c r="AC11" s="255">
        <v>3.6627824887302027E-4</v>
      </c>
      <c r="AD11" s="255">
        <v>2.5954303883606126E-4</v>
      </c>
      <c r="AE11" s="255">
        <v>1.2596922849653121E-4</v>
      </c>
      <c r="AF11" s="255"/>
      <c r="AG11" s="256">
        <f t="shared" si="3"/>
        <v>1.4433163098987894E-3</v>
      </c>
      <c r="AJ11" s="252">
        <v>216</v>
      </c>
      <c r="AK11" s="253">
        <v>1.1751646720762433E-2</v>
      </c>
      <c r="AL11" s="253">
        <v>1.6373638512075898E-4</v>
      </c>
      <c r="AM11" s="253">
        <v>1.3582574272006837E-4</v>
      </c>
      <c r="AN11" s="253">
        <v>5.8414471227704495E-5</v>
      </c>
      <c r="AO11" s="253"/>
      <c r="AP11" s="254">
        <f t="shared" si="4"/>
        <v>3.0274058299577414E-3</v>
      </c>
      <c r="AR11" s="252">
        <v>216</v>
      </c>
      <c r="AS11" s="255">
        <v>9.1121340973780013E-4</v>
      </c>
      <c r="AT11" s="255">
        <v>1.9321735281299264E-3</v>
      </c>
      <c r="AU11" s="255">
        <v>3.8634870929346089E-4</v>
      </c>
      <c r="AV11" s="255">
        <v>6.7045803476810627E-3</v>
      </c>
      <c r="AW11" s="255"/>
      <c r="AX11" s="256">
        <f t="shared" si="5"/>
        <v>2.4835789987105623E-3</v>
      </c>
      <c r="BA11" s="252">
        <v>216</v>
      </c>
      <c r="BB11" s="253">
        <v>1.2910552433627609E-3</v>
      </c>
      <c r="BC11" s="253">
        <v>2.0912521145073216E-3</v>
      </c>
      <c r="BD11" s="253">
        <v>7.5975631682845626E-4</v>
      </c>
      <c r="BE11" s="253">
        <v>9.3014031421906644E-4</v>
      </c>
      <c r="BF11" s="253"/>
      <c r="BG11" s="254">
        <f t="shared" si="6"/>
        <v>1.2680509972294012E-3</v>
      </c>
      <c r="BI11" s="252">
        <v>216</v>
      </c>
      <c r="BJ11" s="255">
        <v>3.1957013743624568E-3</v>
      </c>
      <c r="BK11" s="255">
        <v>0.19969324205867003</v>
      </c>
      <c r="BL11" s="255">
        <v>2.4023874066461249E-3</v>
      </c>
      <c r="BM11" s="255">
        <v>0.11561309005377932</v>
      </c>
      <c r="BN11" s="255"/>
      <c r="BO11" s="256">
        <f t="shared" si="7"/>
        <v>8.0226105223364486E-2</v>
      </c>
      <c r="BR11" s="252">
        <v>216</v>
      </c>
      <c r="BS11" s="253">
        <v>9.8914917234418226E-4</v>
      </c>
      <c r="BT11" s="253">
        <v>1.2352868300292752E-2</v>
      </c>
      <c r="BU11" s="253">
        <v>7.1560243272748489E-4</v>
      </c>
      <c r="BV11" s="253">
        <v>0.28000397814047018</v>
      </c>
      <c r="BW11" s="253"/>
      <c r="BX11" s="254">
        <f t="shared" si="8"/>
        <v>7.3515399511458648E-2</v>
      </c>
      <c r="BZ11" s="252">
        <v>216</v>
      </c>
      <c r="CA11" s="255">
        <v>2.9304542497204564E-3</v>
      </c>
      <c r="CB11" s="255">
        <v>5.0986250015947379E-2</v>
      </c>
      <c r="CC11" s="255">
        <v>7.5400766146806577E-3</v>
      </c>
      <c r="CD11" s="255">
        <v>1.8801348398548079E-2</v>
      </c>
      <c r="CE11" s="255"/>
      <c r="CF11" s="256">
        <f t="shared" si="9"/>
        <v>2.0064532319724146E-2</v>
      </c>
      <c r="CI11" s="252">
        <v>216</v>
      </c>
      <c r="CJ11" s="253">
        <v>4.7824569216953602E-4</v>
      </c>
      <c r="CK11" s="253">
        <v>1.5701775019488782E-3</v>
      </c>
      <c r="CL11" s="253">
        <v>1.7020577139106488E-3</v>
      </c>
      <c r="CM11" s="253">
        <v>8.7448188357562486E-3</v>
      </c>
      <c r="CN11" s="253"/>
      <c r="CO11" s="254">
        <f t="shared" si="10"/>
        <v>3.1238249359463281E-3</v>
      </c>
      <c r="CQ11" s="252">
        <v>216</v>
      </c>
      <c r="CR11" s="255">
        <v>3.4641737204825187E-4</v>
      </c>
      <c r="CS11" s="255">
        <v>4.7937011579140089E-4</v>
      </c>
      <c r="CT11" s="255">
        <v>6.096899833195335E-4</v>
      </c>
      <c r="CU11" s="255">
        <v>2.1213687728093245E-4</v>
      </c>
      <c r="CV11" s="255"/>
      <c r="CW11" s="256">
        <f t="shared" si="11"/>
        <v>4.1190358711002968E-4</v>
      </c>
    </row>
    <row r="12" spans="2:102" x14ac:dyDescent="0.25">
      <c r="B12" s="252"/>
      <c r="C12" s="253"/>
      <c r="D12" s="253"/>
      <c r="E12" s="253"/>
      <c r="F12" s="253"/>
      <c r="G12" s="253"/>
      <c r="H12" s="254"/>
      <c r="J12" s="252"/>
      <c r="K12" s="255"/>
      <c r="L12" s="255"/>
      <c r="M12" s="255"/>
      <c r="N12" s="255"/>
      <c r="O12" s="255"/>
      <c r="P12" s="256"/>
      <c r="S12" s="252"/>
      <c r="T12" s="253"/>
      <c r="U12" s="253"/>
      <c r="V12" s="253"/>
      <c r="W12" s="253"/>
      <c r="X12" s="253"/>
      <c r="Y12" s="254"/>
      <c r="AA12" s="252"/>
      <c r="AB12" s="255"/>
      <c r="AC12" s="255"/>
      <c r="AD12" s="255"/>
      <c r="AE12" s="255"/>
      <c r="AF12" s="255"/>
      <c r="AG12" s="256"/>
      <c r="AJ12" s="252"/>
      <c r="AK12" s="253"/>
      <c r="AL12" s="253"/>
      <c r="AM12" s="253"/>
      <c r="AN12" s="253"/>
      <c r="AO12" s="253"/>
      <c r="AP12" s="254"/>
      <c r="AR12" s="252"/>
      <c r="AS12" s="255"/>
      <c r="AT12" s="255"/>
      <c r="AU12" s="255"/>
      <c r="AV12" s="255"/>
      <c r="AW12" s="255"/>
      <c r="AX12" s="256"/>
      <c r="BA12" s="252"/>
      <c r="BB12" s="253"/>
      <c r="BC12" s="253"/>
      <c r="BD12" s="253"/>
      <c r="BE12" s="253"/>
      <c r="BF12" s="253"/>
      <c r="BG12" s="254"/>
      <c r="BI12" s="252"/>
      <c r="BJ12" s="255"/>
      <c r="BK12" s="255"/>
      <c r="BL12" s="255"/>
      <c r="BM12" s="255"/>
      <c r="BN12" s="255"/>
      <c r="BO12" s="256"/>
      <c r="BR12" s="252"/>
      <c r="BS12" s="253"/>
      <c r="BT12" s="253"/>
      <c r="BU12" s="253"/>
      <c r="BV12" s="253"/>
      <c r="BW12" s="253"/>
      <c r="BX12" s="254"/>
      <c r="BZ12" s="252"/>
      <c r="CA12" s="255"/>
      <c r="CB12" s="255"/>
      <c r="CC12" s="255"/>
      <c r="CD12" s="255"/>
      <c r="CE12" s="255"/>
      <c r="CF12" s="256"/>
      <c r="CI12" s="252"/>
      <c r="CJ12" s="253"/>
      <c r="CK12" s="253"/>
      <c r="CL12" s="253"/>
      <c r="CM12" s="253"/>
      <c r="CN12" s="253"/>
      <c r="CO12" s="254"/>
      <c r="CQ12" s="252"/>
      <c r="CR12" s="255"/>
      <c r="CS12" s="255"/>
      <c r="CT12" s="255"/>
      <c r="CU12" s="255"/>
      <c r="CV12" s="255"/>
      <c r="CW12" s="256"/>
    </row>
    <row r="13" spans="2:102" x14ac:dyDescent="0.25">
      <c r="B13" s="252"/>
      <c r="C13" s="253"/>
      <c r="D13" s="253"/>
      <c r="E13" s="253"/>
      <c r="F13" s="253"/>
      <c r="G13" s="253"/>
      <c r="H13" s="254"/>
      <c r="J13" s="252"/>
      <c r="K13" s="255"/>
      <c r="L13" s="255"/>
      <c r="M13" s="255"/>
      <c r="N13" s="255"/>
      <c r="O13" s="255"/>
      <c r="P13" s="256"/>
      <c r="S13" s="252"/>
      <c r="T13" s="253"/>
      <c r="U13" s="253"/>
      <c r="V13" s="253"/>
      <c r="W13" s="253"/>
      <c r="X13" s="253"/>
      <c r="Y13" s="254"/>
      <c r="AA13" s="252"/>
      <c r="AB13" s="255"/>
      <c r="AC13" s="255"/>
      <c r="AD13" s="255"/>
      <c r="AE13" s="255"/>
      <c r="AF13" s="255"/>
      <c r="AG13" s="256"/>
      <c r="AJ13" s="252"/>
      <c r="AK13" s="253"/>
      <c r="AL13" s="253"/>
      <c r="AM13" s="253"/>
      <c r="AN13" s="253"/>
      <c r="AO13" s="253"/>
      <c r="AP13" s="254"/>
      <c r="AR13" s="252"/>
      <c r="AS13" s="255"/>
      <c r="AT13" s="255"/>
      <c r="AU13" s="255"/>
      <c r="AV13" s="255"/>
      <c r="AW13" s="255"/>
      <c r="AX13" s="256"/>
      <c r="BA13" s="252"/>
      <c r="BB13" s="253"/>
      <c r="BC13" s="253"/>
      <c r="BD13" s="253"/>
      <c r="BE13" s="253"/>
      <c r="BF13" s="253"/>
      <c r="BG13" s="254"/>
      <c r="BI13" s="252"/>
      <c r="BJ13" s="255"/>
      <c r="BK13" s="255"/>
      <c r="BL13" s="255"/>
      <c r="BM13" s="255"/>
      <c r="BN13" s="255"/>
      <c r="BO13" s="256"/>
      <c r="BR13" s="252"/>
      <c r="BS13" s="253"/>
      <c r="BT13" s="253"/>
      <c r="BU13" s="253"/>
      <c r="BV13" s="253"/>
      <c r="BW13" s="253"/>
      <c r="BX13" s="254"/>
      <c r="BZ13" s="252"/>
      <c r="CA13" s="255"/>
      <c r="CB13" s="255"/>
      <c r="CC13" s="255"/>
      <c r="CD13" s="255"/>
      <c r="CE13" s="255"/>
      <c r="CF13" s="256"/>
      <c r="CI13" s="252"/>
      <c r="CJ13" s="253"/>
      <c r="CK13" s="253"/>
      <c r="CL13" s="253"/>
      <c r="CM13" s="253"/>
      <c r="CN13" s="253"/>
      <c r="CO13" s="254"/>
      <c r="CQ13" s="252"/>
      <c r="CR13" s="255"/>
      <c r="CS13" s="255"/>
      <c r="CT13" s="255"/>
      <c r="CU13" s="255"/>
      <c r="CV13" s="255"/>
      <c r="CW13" s="256"/>
    </row>
    <row r="15" spans="2:102" ht="19.5" thickBot="1" x14ac:dyDescent="0.35">
      <c r="B15" s="246" t="s">
        <v>69</v>
      </c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7"/>
      <c r="S15" s="246" t="s">
        <v>69</v>
      </c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7"/>
      <c r="AJ15" s="246" t="s">
        <v>69</v>
      </c>
      <c r="AK15" s="246"/>
      <c r="AL15" s="246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246"/>
      <c r="AX15" s="246"/>
      <c r="AY15" s="247"/>
      <c r="BA15" s="246" t="s">
        <v>69</v>
      </c>
      <c r="BB15" s="246"/>
      <c r="BC15" s="246"/>
      <c r="BD15" s="246"/>
      <c r="BE15" s="246"/>
      <c r="BF15" s="246"/>
      <c r="BG15" s="246"/>
      <c r="BH15" s="246"/>
      <c r="BI15" s="246"/>
      <c r="BJ15" s="246"/>
      <c r="BK15" s="246"/>
      <c r="BL15" s="246"/>
      <c r="BM15" s="246"/>
      <c r="BN15" s="246"/>
      <c r="BO15" s="246"/>
      <c r="BP15" s="247"/>
      <c r="BR15" s="246" t="s">
        <v>69</v>
      </c>
      <c r="BS15" s="246"/>
      <c r="BT15" s="246"/>
      <c r="BU15" s="246"/>
      <c r="BV15" s="246"/>
      <c r="BW15" s="246"/>
      <c r="BX15" s="246"/>
      <c r="BY15" s="246"/>
      <c r="BZ15" s="246"/>
      <c r="CA15" s="246"/>
      <c r="CB15" s="246"/>
      <c r="CC15" s="246"/>
      <c r="CD15" s="246"/>
      <c r="CE15" s="246"/>
      <c r="CF15" s="246"/>
      <c r="CG15" s="247"/>
      <c r="CI15" s="246" t="s">
        <v>69</v>
      </c>
      <c r="CJ15" s="246"/>
      <c r="CK15" s="246"/>
      <c r="CL15" s="246"/>
      <c r="CM15" s="246"/>
      <c r="CN15" s="246"/>
      <c r="CO15" s="246"/>
      <c r="CP15" s="246"/>
      <c r="CQ15" s="246"/>
      <c r="CR15" s="246"/>
      <c r="CS15" s="246"/>
      <c r="CT15" s="246"/>
      <c r="CU15" s="246"/>
      <c r="CV15" s="246"/>
      <c r="CW15" s="246"/>
      <c r="CX15" s="247"/>
    </row>
    <row r="16" spans="2:102" ht="7.5" customHeight="1" x14ac:dyDescent="0.3"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BA16" s="248"/>
      <c r="BB16" s="248"/>
      <c r="BC16" s="248"/>
      <c r="BD16" s="248"/>
      <c r="BE16" s="248"/>
      <c r="BF16" s="248"/>
      <c r="BG16" s="248"/>
      <c r="BH16" s="248"/>
      <c r="BI16" s="248"/>
      <c r="BJ16" s="248"/>
      <c r="BK16" s="248"/>
      <c r="BL16" s="248"/>
      <c r="BM16" s="248"/>
      <c r="BN16" s="248"/>
      <c r="BO16" s="248"/>
      <c r="BR16" s="248"/>
      <c r="BS16" s="248"/>
      <c r="BT16" s="248"/>
      <c r="BU16" s="248"/>
      <c r="BV16" s="248"/>
      <c r="BW16" s="248"/>
      <c r="BX16" s="248"/>
      <c r="BY16" s="248"/>
      <c r="BZ16" s="248"/>
      <c r="CA16" s="248"/>
      <c r="CB16" s="248"/>
      <c r="CC16" s="248"/>
      <c r="CD16" s="248"/>
      <c r="CE16" s="248"/>
      <c r="CF16" s="248"/>
      <c r="CI16" s="248"/>
      <c r="CJ16" s="248"/>
      <c r="CK16" s="248"/>
      <c r="CL16" s="248"/>
      <c r="CM16" s="248"/>
      <c r="CN16" s="248"/>
      <c r="CO16" s="248"/>
      <c r="CP16" s="248"/>
      <c r="CQ16" s="248"/>
      <c r="CR16" s="248"/>
      <c r="CS16" s="248"/>
      <c r="CT16" s="248"/>
      <c r="CU16" s="248"/>
      <c r="CV16" s="248"/>
      <c r="CW16" s="248"/>
    </row>
    <row r="17" spans="2:102" x14ac:dyDescent="0.25">
      <c r="B17" s="249" t="s">
        <v>62</v>
      </c>
      <c r="C17" s="250" t="s">
        <v>63</v>
      </c>
      <c r="D17" s="250" t="s">
        <v>64</v>
      </c>
      <c r="E17" s="250" t="s">
        <v>65</v>
      </c>
      <c r="F17" s="250" t="s">
        <v>66</v>
      </c>
      <c r="G17" s="250" t="s">
        <v>67</v>
      </c>
      <c r="H17" s="251" t="s">
        <v>68</v>
      </c>
      <c r="J17" s="249" t="s">
        <v>62</v>
      </c>
      <c r="K17" s="250" t="s">
        <v>63</v>
      </c>
      <c r="L17" s="250" t="s">
        <v>64</v>
      </c>
      <c r="M17" s="250" t="s">
        <v>65</v>
      </c>
      <c r="N17" s="250" t="s">
        <v>66</v>
      </c>
      <c r="O17" s="250" t="s">
        <v>67</v>
      </c>
      <c r="P17" s="251" t="s">
        <v>68</v>
      </c>
      <c r="S17" s="249" t="s">
        <v>62</v>
      </c>
      <c r="T17" s="250" t="s">
        <v>63</v>
      </c>
      <c r="U17" s="250" t="s">
        <v>64</v>
      </c>
      <c r="V17" s="250" t="s">
        <v>65</v>
      </c>
      <c r="W17" s="250" t="s">
        <v>66</v>
      </c>
      <c r="X17" s="250" t="s">
        <v>67</v>
      </c>
      <c r="Y17" s="251" t="s">
        <v>68</v>
      </c>
      <c r="AA17" s="249" t="s">
        <v>62</v>
      </c>
      <c r="AB17" s="250" t="s">
        <v>63</v>
      </c>
      <c r="AC17" s="250" t="s">
        <v>64</v>
      </c>
      <c r="AD17" s="250" t="s">
        <v>65</v>
      </c>
      <c r="AE17" s="250" t="s">
        <v>66</v>
      </c>
      <c r="AF17" s="250" t="s">
        <v>67</v>
      </c>
      <c r="AG17" s="251" t="s">
        <v>68</v>
      </c>
      <c r="AJ17" s="249" t="s">
        <v>62</v>
      </c>
      <c r="AK17" s="250" t="s">
        <v>63</v>
      </c>
      <c r="AL17" s="250" t="s">
        <v>64</v>
      </c>
      <c r="AM17" s="250" t="s">
        <v>65</v>
      </c>
      <c r="AN17" s="250" t="s">
        <v>66</v>
      </c>
      <c r="AO17" s="250" t="s">
        <v>67</v>
      </c>
      <c r="AP17" s="251" t="s">
        <v>68</v>
      </c>
      <c r="AR17" s="249" t="s">
        <v>62</v>
      </c>
      <c r="AS17" s="250" t="s">
        <v>63</v>
      </c>
      <c r="AT17" s="250" t="s">
        <v>64</v>
      </c>
      <c r="AU17" s="250" t="s">
        <v>65</v>
      </c>
      <c r="AV17" s="250" t="s">
        <v>66</v>
      </c>
      <c r="AW17" s="250" t="s">
        <v>67</v>
      </c>
      <c r="AX17" s="251" t="s">
        <v>68</v>
      </c>
      <c r="BA17" s="249" t="s">
        <v>62</v>
      </c>
      <c r="BB17" s="250" t="s">
        <v>63</v>
      </c>
      <c r="BC17" s="250" t="s">
        <v>64</v>
      </c>
      <c r="BD17" s="250" t="s">
        <v>65</v>
      </c>
      <c r="BE17" s="250" t="s">
        <v>66</v>
      </c>
      <c r="BF17" s="250" t="s">
        <v>67</v>
      </c>
      <c r="BG17" s="251" t="s">
        <v>68</v>
      </c>
      <c r="BI17" s="249" t="s">
        <v>62</v>
      </c>
      <c r="BJ17" s="250" t="s">
        <v>63</v>
      </c>
      <c r="BK17" s="250" t="s">
        <v>64</v>
      </c>
      <c r="BL17" s="250" t="s">
        <v>65</v>
      </c>
      <c r="BM17" s="250" t="s">
        <v>66</v>
      </c>
      <c r="BN17" s="250" t="s">
        <v>67</v>
      </c>
      <c r="BO17" s="251" t="s">
        <v>68</v>
      </c>
      <c r="BR17" s="249" t="s">
        <v>62</v>
      </c>
      <c r="BS17" s="250" t="s">
        <v>63</v>
      </c>
      <c r="BT17" s="250" t="s">
        <v>64</v>
      </c>
      <c r="BU17" s="250" t="s">
        <v>65</v>
      </c>
      <c r="BV17" s="250" t="s">
        <v>66</v>
      </c>
      <c r="BW17" s="250" t="s">
        <v>67</v>
      </c>
      <c r="BX17" s="251" t="s">
        <v>68</v>
      </c>
      <c r="BZ17" s="249" t="s">
        <v>62</v>
      </c>
      <c r="CA17" s="250" t="s">
        <v>63</v>
      </c>
      <c r="CB17" s="250" t="s">
        <v>64</v>
      </c>
      <c r="CC17" s="250" t="s">
        <v>65</v>
      </c>
      <c r="CD17" s="250" t="s">
        <v>66</v>
      </c>
      <c r="CE17" s="250" t="s">
        <v>67</v>
      </c>
      <c r="CF17" s="251" t="s">
        <v>68</v>
      </c>
      <c r="CI17" s="249" t="s">
        <v>62</v>
      </c>
      <c r="CJ17" s="250" t="s">
        <v>63</v>
      </c>
      <c r="CK17" s="250" t="s">
        <v>64</v>
      </c>
      <c r="CL17" s="250" t="s">
        <v>65</v>
      </c>
      <c r="CM17" s="250" t="s">
        <v>66</v>
      </c>
      <c r="CN17" s="250" t="s">
        <v>67</v>
      </c>
      <c r="CO17" s="251" t="s">
        <v>68</v>
      </c>
      <c r="CQ17" s="249" t="s">
        <v>62</v>
      </c>
      <c r="CR17" s="250" t="s">
        <v>63</v>
      </c>
      <c r="CS17" s="250" t="s">
        <v>64</v>
      </c>
      <c r="CT17" s="250" t="s">
        <v>65</v>
      </c>
      <c r="CU17" s="250" t="s">
        <v>66</v>
      </c>
      <c r="CV17" s="250" t="s">
        <v>67</v>
      </c>
      <c r="CW17" s="251" t="s">
        <v>68</v>
      </c>
    </row>
    <row r="18" spans="2:102" x14ac:dyDescent="0.25">
      <c r="B18" s="257">
        <v>0</v>
      </c>
      <c r="C18" s="258">
        <v>0</v>
      </c>
      <c r="D18" s="258">
        <v>0</v>
      </c>
      <c r="E18" s="258">
        <v>0</v>
      </c>
      <c r="F18" s="258">
        <v>0</v>
      </c>
      <c r="G18" s="258"/>
      <c r="H18" s="254">
        <f>AVERAGE(C18:G18)</f>
        <v>0</v>
      </c>
      <c r="J18" s="257">
        <v>0</v>
      </c>
      <c r="K18" s="259">
        <v>0</v>
      </c>
      <c r="L18" s="259">
        <v>0</v>
      </c>
      <c r="M18" s="259">
        <v>0</v>
      </c>
      <c r="N18" s="259">
        <v>0</v>
      </c>
      <c r="O18" s="259"/>
      <c r="P18" s="256">
        <f>AVERAGE(K18:O18)</f>
        <v>0</v>
      </c>
      <c r="S18" s="257">
        <v>0</v>
      </c>
      <c r="T18" s="258">
        <v>0</v>
      </c>
      <c r="U18" s="258">
        <v>0</v>
      </c>
      <c r="V18" s="258">
        <v>0</v>
      </c>
      <c r="W18" s="258">
        <v>0</v>
      </c>
      <c r="X18" s="258"/>
      <c r="Y18" s="254">
        <f>AVERAGE(T18:X18)</f>
        <v>0</v>
      </c>
      <c r="AA18" s="257">
        <v>0</v>
      </c>
      <c r="AB18" s="259">
        <v>0</v>
      </c>
      <c r="AC18" s="259">
        <v>0</v>
      </c>
      <c r="AD18" s="259">
        <v>0</v>
      </c>
      <c r="AE18" s="259">
        <v>0</v>
      </c>
      <c r="AF18" s="259"/>
      <c r="AG18" s="256">
        <f>AVERAGE(AB18:AF18)</f>
        <v>0</v>
      </c>
      <c r="AJ18" s="257">
        <v>0</v>
      </c>
      <c r="AK18" s="258">
        <v>0</v>
      </c>
      <c r="AL18" s="258">
        <v>0</v>
      </c>
      <c r="AM18" s="258">
        <v>0</v>
      </c>
      <c r="AN18" s="258">
        <v>0</v>
      </c>
      <c r="AO18" s="258"/>
      <c r="AP18" s="254">
        <f>AVERAGE(AK18:AO18)</f>
        <v>0</v>
      </c>
      <c r="AR18" s="257">
        <v>0</v>
      </c>
      <c r="AS18" s="259">
        <v>0</v>
      </c>
      <c r="AT18" s="259">
        <v>0</v>
      </c>
      <c r="AU18" s="259">
        <v>0</v>
      </c>
      <c r="AV18" s="259">
        <v>0</v>
      </c>
      <c r="AW18" s="259"/>
      <c r="AX18" s="256">
        <f>AVERAGE(AS18:AW18)</f>
        <v>0</v>
      </c>
      <c r="BA18" s="257">
        <v>0</v>
      </c>
      <c r="BB18" s="258">
        <v>0</v>
      </c>
      <c r="BC18" s="258">
        <v>0</v>
      </c>
      <c r="BD18" s="258">
        <v>0</v>
      </c>
      <c r="BE18" s="258">
        <v>0</v>
      </c>
      <c r="BF18" s="258"/>
      <c r="BG18" s="254">
        <f>AVERAGE(BB18:BF18)</f>
        <v>0</v>
      </c>
      <c r="BI18" s="257">
        <v>0</v>
      </c>
      <c r="BJ18" s="259">
        <v>0</v>
      </c>
      <c r="BK18" s="259">
        <v>0</v>
      </c>
      <c r="BL18" s="259">
        <v>0</v>
      </c>
      <c r="BM18" s="259">
        <v>0</v>
      </c>
      <c r="BN18" s="259"/>
      <c r="BO18" s="256">
        <f>AVERAGE(BJ18:BN18)</f>
        <v>0</v>
      </c>
      <c r="BR18" s="257">
        <v>0</v>
      </c>
      <c r="BS18" s="258">
        <v>0</v>
      </c>
      <c r="BT18" s="258">
        <v>0</v>
      </c>
      <c r="BU18" s="258">
        <v>0</v>
      </c>
      <c r="BV18" s="258">
        <v>0</v>
      </c>
      <c r="BW18" s="258"/>
      <c r="BX18" s="254">
        <f>AVERAGE(BS18:BW18)</f>
        <v>0</v>
      </c>
      <c r="BZ18" s="257">
        <v>0</v>
      </c>
      <c r="CA18" s="259">
        <v>0</v>
      </c>
      <c r="CB18" s="259">
        <v>0</v>
      </c>
      <c r="CC18" s="259">
        <v>0</v>
      </c>
      <c r="CD18" s="259">
        <v>0</v>
      </c>
      <c r="CE18" s="259"/>
      <c r="CF18" s="256">
        <f>AVERAGE(CA18:CE18)</f>
        <v>0</v>
      </c>
      <c r="CI18" s="257">
        <v>0</v>
      </c>
      <c r="CJ18" s="258">
        <v>0</v>
      </c>
      <c r="CK18" s="258">
        <v>0</v>
      </c>
      <c r="CL18" s="258">
        <v>0</v>
      </c>
      <c r="CM18" s="258">
        <v>0</v>
      </c>
      <c r="CN18" s="258"/>
      <c r="CO18" s="254">
        <f>AVERAGE(CJ18:CN18)</f>
        <v>0</v>
      </c>
      <c r="CQ18" s="257">
        <v>0</v>
      </c>
      <c r="CR18" s="259">
        <v>0</v>
      </c>
      <c r="CS18" s="259">
        <v>0</v>
      </c>
      <c r="CT18" s="259">
        <v>0</v>
      </c>
      <c r="CU18" s="259">
        <v>0</v>
      </c>
      <c r="CV18" s="259"/>
      <c r="CW18" s="256">
        <f>AVERAGE(CR18:CV18)</f>
        <v>0</v>
      </c>
    </row>
    <row r="19" spans="2:102" x14ac:dyDescent="0.25">
      <c r="B19" s="252">
        <v>24</v>
      </c>
      <c r="C19" s="253">
        <f t="shared" ref="C19:F22" si="12">(C8*EXP(-LN(2)/8.04*$B19))</f>
        <v>2.3286599602703289E-4</v>
      </c>
      <c r="D19" s="253">
        <f t="shared" si="12"/>
        <v>1.5620706669364662E-4</v>
      </c>
      <c r="E19" s="253">
        <f t="shared" si="12"/>
        <v>7.1229966817156165E-5</v>
      </c>
      <c r="F19" s="253">
        <f t="shared" si="12"/>
        <v>1.3360886915327963E-4</v>
      </c>
      <c r="G19" s="253"/>
      <c r="H19" s="254">
        <f>AVERAGE(C19:G19)</f>
        <v>1.4847797467277884E-4</v>
      </c>
      <c r="J19" s="252">
        <v>24</v>
      </c>
      <c r="K19" s="255">
        <f t="shared" ref="K19:N21" si="13">(K8*EXP(-LN(2)/8.04*$B19))</f>
        <v>5.15693190301399E-4</v>
      </c>
      <c r="L19" s="255">
        <f t="shared" si="13"/>
        <v>3.9639554562861842E-4</v>
      </c>
      <c r="M19" s="255">
        <f t="shared" si="13"/>
        <v>1.2416519615221649E-4</v>
      </c>
      <c r="N19" s="255">
        <f t="shared" si="13"/>
        <v>1.9086572258430706E-4</v>
      </c>
      <c r="O19" s="255"/>
      <c r="P19" s="256">
        <f>AVERAGE(K19:O19)</f>
        <v>3.0677991366663521E-4</v>
      </c>
      <c r="S19" s="252">
        <v>24</v>
      </c>
      <c r="T19" s="253">
        <f t="shared" ref="T19:W21" si="14">(T8*EXP(-LN(2)/8.04*$B19))</f>
        <v>6.0281915193382478E-5</v>
      </c>
      <c r="U19" s="253">
        <f t="shared" si="14"/>
        <v>2.3741229641830973E-4</v>
      </c>
      <c r="V19" s="253">
        <f t="shared" si="14"/>
        <v>1.1573007834793689E-4</v>
      </c>
      <c r="W19" s="253">
        <f t="shared" si="14"/>
        <v>2.5394405197058938E-4</v>
      </c>
      <c r="X19" s="253"/>
      <c r="Y19" s="254">
        <f>AVERAGE(T19:X19)</f>
        <v>1.6684208548255463E-4</v>
      </c>
      <c r="AA19" s="252">
        <v>24</v>
      </c>
      <c r="AB19" s="255">
        <f t="shared" ref="AB19:AE21" si="15">(AB8*EXP(-LN(2)/8.04*$B19))</f>
        <v>4.8827821330432172E-4</v>
      </c>
      <c r="AC19" s="255">
        <f t="shared" si="15"/>
        <v>2.7769225715103306E-4</v>
      </c>
      <c r="AD19" s="255">
        <f t="shared" si="15"/>
        <v>9.1560260130140367E-5</v>
      </c>
      <c r="AE19" s="255">
        <f t="shared" si="15"/>
        <v>2.653200670300589E-4</v>
      </c>
      <c r="AF19" s="255"/>
      <c r="AG19" s="256">
        <f>AVERAGE(AB19:AF19)</f>
        <v>2.807126994038885E-4</v>
      </c>
      <c r="AJ19" s="252">
        <v>24</v>
      </c>
      <c r="AK19" s="253">
        <f t="shared" ref="AK19:AN21" si="16">(AK8*EXP(-LN(2)/8.04*$B19))</f>
        <v>1.0859740987413404E-3</v>
      </c>
      <c r="AL19" s="253">
        <f t="shared" si="16"/>
        <v>1.8547155093164992E-4</v>
      </c>
      <c r="AM19" s="253">
        <f t="shared" si="16"/>
        <v>9.6281431429433789E-6</v>
      </c>
      <c r="AN19" s="253">
        <f t="shared" si="16"/>
        <v>5.1762067863540542E-5</v>
      </c>
      <c r="AO19" s="253"/>
      <c r="AP19" s="254">
        <f>AVERAGE(AK19:AO19)</f>
        <v>3.332089651698686E-4</v>
      </c>
      <c r="AR19" s="252">
        <v>24</v>
      </c>
      <c r="AS19" s="255">
        <f t="shared" ref="AS19:AV21" si="17">(AS8*EXP(-LN(2)/8.04*$B19))</f>
        <v>1.4179574471301755E-4</v>
      </c>
      <c r="AT19" s="255">
        <f t="shared" si="17"/>
        <v>7.8554600979013455E-4</v>
      </c>
      <c r="AU19" s="255">
        <f t="shared" si="17"/>
        <v>4.7047142860130525E-4</v>
      </c>
      <c r="AV19" s="255">
        <f t="shared" si="17"/>
        <v>1.9346621329129112E-4</v>
      </c>
      <c r="AW19" s="255"/>
      <c r="AX19" s="256">
        <f>AVERAGE(AS19:AW19)</f>
        <v>3.978198490989371E-4</v>
      </c>
      <c r="BA19" s="252">
        <v>24</v>
      </c>
      <c r="BB19" s="253">
        <f t="shared" ref="BB19:BE21" si="18">(BB8*EXP(-LN(2)/8.04*$B19))</f>
        <v>1.6725803610635179E-4</v>
      </c>
      <c r="BC19" s="253">
        <f t="shared" si="18"/>
        <v>1.0971694703681184E-3</v>
      </c>
      <c r="BD19" s="253">
        <f t="shared" si="18"/>
        <v>2.4782338050516513E-4</v>
      </c>
      <c r="BE19" s="253">
        <f t="shared" si="18"/>
        <v>2.9866620357444978E-4</v>
      </c>
      <c r="BF19" s="253"/>
      <c r="BG19" s="254">
        <f>AVERAGE(BB19:BF19)</f>
        <v>4.5272927263852126E-4</v>
      </c>
      <c r="BI19" s="252">
        <v>24</v>
      </c>
      <c r="BJ19" s="255">
        <f t="shared" ref="BJ19:BM21" si="19">(BJ8*EXP(-LN(2)/8.04*$B19))</f>
        <v>3.7423522614984592E-3</v>
      </c>
      <c r="BK19" s="255">
        <f t="shared" si="19"/>
        <v>2.3318948037615393E-2</v>
      </c>
      <c r="BL19" s="255">
        <f t="shared" si="19"/>
        <v>2.7118430129439721E-3</v>
      </c>
      <c r="BM19" s="255">
        <f t="shared" si="19"/>
        <v>9.8168832928866336E-3</v>
      </c>
      <c r="BN19" s="255"/>
      <c r="BO19" s="256">
        <f>AVERAGE(BJ19:BN19)</f>
        <v>9.897506651236114E-3</v>
      </c>
      <c r="BR19" s="252">
        <v>24</v>
      </c>
      <c r="BS19" s="253">
        <f t="shared" ref="BS19:BV21" si="20">(BS8*EXP(-LN(2)/8.04*$B19))</f>
        <v>1.0873887886256444E-2</v>
      </c>
      <c r="BT19" s="253">
        <f t="shared" si="20"/>
        <v>1.8980315029005303E-2</v>
      </c>
      <c r="BU19" s="253">
        <f t="shared" si="20"/>
        <v>7.0925538418215039E-4</v>
      </c>
      <c r="BV19" s="253">
        <f t="shared" si="20"/>
        <v>9.7724632659717398E-4</v>
      </c>
      <c r="BW19" s="253"/>
      <c r="BX19" s="254">
        <f>AVERAGE(BS19:BW19)</f>
        <v>7.8851761565102672E-3</v>
      </c>
      <c r="BZ19" s="252">
        <v>24</v>
      </c>
      <c r="CA19" s="255">
        <f t="shared" ref="CA19:CD21" si="21">(CA8*EXP(-LN(2)/8.04*$B19))</f>
        <v>2.5194476949132452E-3</v>
      </c>
      <c r="CB19" s="255">
        <f t="shared" si="21"/>
        <v>7.1546230971982327E-3</v>
      </c>
      <c r="CC19" s="255">
        <f t="shared" si="21"/>
        <v>7.7511187163049531E-4</v>
      </c>
      <c r="CD19" s="255">
        <f t="shared" si="21"/>
        <v>1.5885123714353095E-2</v>
      </c>
      <c r="CE19" s="255"/>
      <c r="CF19" s="256">
        <f>AVERAGE(CA19:CE19)</f>
        <v>6.5835765945237669E-3</v>
      </c>
      <c r="CI19" s="252">
        <v>24</v>
      </c>
      <c r="CJ19" s="253">
        <f t="shared" ref="CJ19:CM21" si="22">(CJ8*EXP(-LN(2)/8.04*$B19))</f>
        <v>4.0990318358564412E-4</v>
      </c>
      <c r="CK19" s="253">
        <f t="shared" si="22"/>
        <v>4.5574251584909437E-4</v>
      </c>
      <c r="CL19" s="253">
        <f t="shared" si="22"/>
        <v>8.4564842618034414E-5</v>
      </c>
      <c r="CM19" s="253">
        <f t="shared" si="22"/>
        <v>9.5032619350800089E-4</v>
      </c>
      <c r="CN19" s="253"/>
      <c r="CO19" s="254">
        <f>AVERAGE(CJ19:CN19)</f>
        <v>4.7513418389019343E-4</v>
      </c>
      <c r="CQ19" s="252">
        <v>24</v>
      </c>
      <c r="CR19" s="255">
        <f t="shared" ref="CR19:CU21" si="23">(CR8*EXP(-LN(2)/8.04*$B19))</f>
        <v>1.3619158733511091E-3</v>
      </c>
      <c r="CS19" s="255">
        <f t="shared" si="23"/>
        <v>7.4806850399851746E-4</v>
      </c>
      <c r="CT19" s="255">
        <f t="shared" si="23"/>
        <v>6.2142010066223888E-4</v>
      </c>
      <c r="CU19" s="255">
        <f t="shared" si="23"/>
        <v>9.8292513503957907E-4</v>
      </c>
      <c r="CV19" s="255"/>
      <c r="CW19" s="256">
        <f>AVERAGE(CR19:CV19)</f>
        <v>9.285824032628611E-4</v>
      </c>
    </row>
    <row r="20" spans="2:102" x14ac:dyDescent="0.25">
      <c r="B20" s="252">
        <v>48</v>
      </c>
      <c r="C20" s="253">
        <f t="shared" si="12"/>
        <v>1.5514707936759132E-5</v>
      </c>
      <c r="D20" s="253">
        <f t="shared" si="12"/>
        <v>6.3789362929352065E-6</v>
      </c>
      <c r="E20" s="253">
        <f t="shared" si="12"/>
        <v>3.2199210458676434E-5</v>
      </c>
      <c r="F20" s="253">
        <f t="shared" si="12"/>
        <v>5.1832448029953758E-6</v>
      </c>
      <c r="G20" s="253"/>
      <c r="H20" s="254">
        <f t="shared" ref="H20:H24" si="24">AVERAGE(C20:G20)</f>
        <v>1.4819024872841537E-5</v>
      </c>
      <c r="J20" s="252">
        <v>48</v>
      </c>
      <c r="K20" s="255">
        <f t="shared" si="13"/>
        <v>3.5930140702060452E-5</v>
      </c>
      <c r="L20" s="255">
        <f t="shared" si="13"/>
        <v>1.0394192549698736E-5</v>
      </c>
      <c r="M20" s="255">
        <f t="shared" si="13"/>
        <v>1.0428975795892608E-4</v>
      </c>
      <c r="N20" s="255">
        <f t="shared" si="13"/>
        <v>9.2601185926327177E-6</v>
      </c>
      <c r="O20" s="255"/>
      <c r="P20" s="256">
        <f t="shared" ref="P20:P22" si="25">AVERAGE(K20:O20)</f>
        <v>3.9968552450829496E-5</v>
      </c>
      <c r="S20" s="252">
        <v>48</v>
      </c>
      <c r="T20" s="253">
        <f t="shared" si="14"/>
        <v>1.5099147371760349E-5</v>
      </c>
      <c r="U20" s="253">
        <f t="shared" si="14"/>
        <v>9.6084466069478028E-6</v>
      </c>
      <c r="V20" s="253">
        <f t="shared" si="14"/>
        <v>1.8773602224075625E-5</v>
      </c>
      <c r="W20" s="253">
        <f t="shared" si="14"/>
        <v>5.9198628568385573E-6</v>
      </c>
      <c r="X20" s="253"/>
      <c r="Y20" s="254">
        <f t="shared" ref="Y20:Y24" si="26">AVERAGE(T20:X20)</f>
        <v>1.2350264764905584E-5</v>
      </c>
      <c r="AA20" s="252">
        <v>48</v>
      </c>
      <c r="AB20" s="255">
        <f t="shared" si="15"/>
        <v>8.7890975560928509E-5</v>
      </c>
      <c r="AC20" s="255">
        <f t="shared" si="15"/>
        <v>6.6273371545804682E-6</v>
      </c>
      <c r="AD20" s="255">
        <f t="shared" si="15"/>
        <v>7.5849717433010635E-5</v>
      </c>
      <c r="AE20" s="255">
        <f t="shared" si="15"/>
        <v>4.3084434517631561E-5</v>
      </c>
      <c r="AF20" s="255"/>
      <c r="AG20" s="256">
        <f t="shared" ref="AG20:AG22" si="27">AVERAGE(AB20:AF20)</f>
        <v>5.3363116166537798E-5</v>
      </c>
      <c r="AJ20" s="252">
        <v>48</v>
      </c>
      <c r="AK20" s="253">
        <f t="shared" si="16"/>
        <v>2.9534101508668335E-5</v>
      </c>
      <c r="AL20" s="253">
        <f t="shared" si="16"/>
        <v>2.9065818258941295E-6</v>
      </c>
      <c r="AM20" s="253">
        <f t="shared" si="16"/>
        <v>2.0369996971020834E-3</v>
      </c>
      <c r="AN20" s="253">
        <f t="shared" si="16"/>
        <v>2.8440014356605049E-5</v>
      </c>
      <c r="AO20" s="253"/>
      <c r="AP20" s="254">
        <f t="shared" ref="AP20:AP24" si="28">AVERAGE(AK20:AO20)</f>
        <v>5.2447009869831273E-4</v>
      </c>
      <c r="AR20" s="252">
        <v>48</v>
      </c>
      <c r="AS20" s="255">
        <f t="shared" si="17"/>
        <v>8.5983528372929387E-5</v>
      </c>
      <c r="AT20" s="255">
        <f t="shared" si="17"/>
        <v>9.8759322475839364E-6</v>
      </c>
      <c r="AU20" s="255">
        <f t="shared" si="17"/>
        <v>5.3671226899812315E-5</v>
      </c>
      <c r="AV20" s="255">
        <f t="shared" si="17"/>
        <v>2.0366331338655031E-5</v>
      </c>
      <c r="AW20" s="255"/>
      <c r="AX20" s="256">
        <f t="shared" ref="AX20:AX22" si="29">AVERAGE(AS20:AW20)</f>
        <v>4.2474254714745173E-5</v>
      </c>
      <c r="BA20" s="252">
        <v>48</v>
      </c>
      <c r="BB20" s="253">
        <f t="shared" si="18"/>
        <v>7.1849119612892639E-5</v>
      </c>
      <c r="BC20" s="253">
        <f t="shared" si="18"/>
        <v>6.6814773819592009E-5</v>
      </c>
      <c r="BD20" s="253">
        <f t="shared" si="18"/>
        <v>6.3225688002569363E-5</v>
      </c>
      <c r="BE20" s="253">
        <f t="shared" si="18"/>
        <v>2.0877292556590048E-5</v>
      </c>
      <c r="BF20" s="253"/>
      <c r="BG20" s="254">
        <f t="shared" ref="BG20:BG24" si="30">AVERAGE(BB20:BF20)</f>
        <v>5.5691718497911015E-5</v>
      </c>
      <c r="BI20" s="252">
        <v>48</v>
      </c>
      <c r="BJ20" s="255">
        <f t="shared" si="19"/>
        <v>1.4832398771417391E-3</v>
      </c>
      <c r="BK20" s="255">
        <f t="shared" si="19"/>
        <v>1.3252688060061131E-3</v>
      </c>
      <c r="BL20" s="255">
        <f t="shared" si="19"/>
        <v>4.6084033221950669E-4</v>
      </c>
      <c r="BM20" s="255">
        <f t="shared" si="19"/>
        <v>5.3825142760195091E-5</v>
      </c>
      <c r="BN20" s="255"/>
      <c r="BO20" s="256">
        <f t="shared" ref="BO20:BO22" si="31">AVERAGE(BJ20:BN20)</f>
        <v>8.3079353953188848E-4</v>
      </c>
      <c r="BR20" s="252">
        <v>48</v>
      </c>
      <c r="BS20" s="253">
        <f t="shared" si="20"/>
        <v>2.3615633426526807E-3</v>
      </c>
      <c r="BT20" s="253">
        <f t="shared" si="20"/>
        <v>3.1239227242343144E-5</v>
      </c>
      <c r="BU20" s="253">
        <f t="shared" si="20"/>
        <v>2.0808490056502691E-4</v>
      </c>
      <c r="BV20" s="253">
        <f t="shared" si="20"/>
        <v>4.9780997790992009E-5</v>
      </c>
      <c r="BW20" s="253"/>
      <c r="BX20" s="254">
        <f t="shared" ref="BX20:BX24" si="32">AVERAGE(BS20:BW20)</f>
        <v>6.6266711706276067E-4</v>
      </c>
      <c r="BZ20" s="252">
        <v>48</v>
      </c>
      <c r="CA20" s="255">
        <f t="shared" si="21"/>
        <v>2.3367518238037732E-4</v>
      </c>
      <c r="CB20" s="255">
        <f t="shared" si="21"/>
        <v>9.1989252972311572E-5</v>
      </c>
      <c r="CC20" s="255">
        <f t="shared" si="21"/>
        <v>4.1036855249831688E-4</v>
      </c>
      <c r="CD20" s="255">
        <f t="shared" si="21"/>
        <v>4.7094072170343601E-5</v>
      </c>
      <c r="CE20" s="255"/>
      <c r="CF20" s="256">
        <f t="shared" ref="CF20:CF22" si="33">AVERAGE(CA20:CE20)</f>
        <v>1.9578176500533736E-4</v>
      </c>
      <c r="CI20" s="252">
        <v>48</v>
      </c>
      <c r="CJ20" s="253">
        <f t="shared" si="22"/>
        <v>4.8362754222985297E-5</v>
      </c>
      <c r="CK20" s="253">
        <f t="shared" si="22"/>
        <v>8.1893166089437376E-6</v>
      </c>
      <c r="CL20" s="253">
        <f t="shared" si="22"/>
        <v>3.9357148216437458E-5</v>
      </c>
      <c r="CM20" s="253">
        <f t="shared" si="22"/>
        <v>2.4500084313193674E-5</v>
      </c>
      <c r="CN20" s="253"/>
      <c r="CO20" s="254">
        <f t="shared" ref="CO20:CO24" si="34">AVERAGE(CJ20:CN20)</f>
        <v>3.0102325840390044E-5</v>
      </c>
      <c r="CQ20" s="252">
        <v>48</v>
      </c>
      <c r="CR20" s="255">
        <f t="shared" si="23"/>
        <v>3.139479250238934E-5</v>
      </c>
      <c r="CS20" s="255">
        <f t="shared" si="23"/>
        <v>1.3194451698293553E-5</v>
      </c>
      <c r="CT20" s="255">
        <f t="shared" si="23"/>
        <v>5.6354257044533278E-5</v>
      </c>
      <c r="CU20" s="255">
        <f t="shared" si="23"/>
        <v>2.0761166184477509E-5</v>
      </c>
      <c r="CV20" s="255"/>
      <c r="CW20" s="256">
        <f t="shared" ref="CW20:CW22" si="35">AVERAGE(CR20:CV20)</f>
        <v>3.0426166857423416E-5</v>
      </c>
    </row>
    <row r="21" spans="2:102" x14ac:dyDescent="0.25">
      <c r="B21" s="252">
        <v>72</v>
      </c>
      <c r="C21" s="253">
        <f>(C10*EXP(-LN(2)/8.04*$B21))</f>
        <v>3.8870357402625196E-7</v>
      </c>
      <c r="D21" s="253">
        <f t="shared" si="12"/>
        <v>2.4692807087506533E-7</v>
      </c>
      <c r="E21" s="253"/>
      <c r="F21" s="253"/>
      <c r="G21" s="253"/>
      <c r="H21" s="254">
        <f t="shared" si="24"/>
        <v>3.1781582245065865E-7</v>
      </c>
      <c r="J21" s="252">
        <v>72</v>
      </c>
      <c r="K21" s="255">
        <f>(K10*EXP(-LN(2)/8.04*$B21))</f>
        <v>6.3616286474026541E-7</v>
      </c>
      <c r="L21" s="255">
        <f t="shared" si="13"/>
        <v>4.1759763081925203E-7</v>
      </c>
      <c r="M21" s="255"/>
      <c r="N21" s="255"/>
      <c r="O21" s="255"/>
      <c r="P21" s="256">
        <f t="shared" si="25"/>
        <v>5.2688024777975874E-7</v>
      </c>
      <c r="S21" s="252">
        <v>72</v>
      </c>
      <c r="T21" s="253">
        <f>(T10*EXP(-LN(2)/8.04*$B21))</f>
        <v>4.0486822553059363E-7</v>
      </c>
      <c r="U21" s="253">
        <f t="shared" si="14"/>
        <v>2.4617778365354447E-7</v>
      </c>
      <c r="V21" s="253"/>
      <c r="W21" s="253"/>
      <c r="X21" s="253"/>
      <c r="Y21" s="254">
        <f t="shared" si="26"/>
        <v>3.2552300459206905E-7</v>
      </c>
      <c r="AA21" s="252">
        <v>72</v>
      </c>
      <c r="AB21" s="255">
        <f>(AB10*EXP(-LN(2)/8.04*$B21))</f>
        <v>7.8546139060268285E-7</v>
      </c>
      <c r="AC21" s="255">
        <f t="shared" si="15"/>
        <v>6.0257251521788005E-7</v>
      </c>
      <c r="AD21" s="255"/>
      <c r="AE21" s="255"/>
      <c r="AF21" s="255"/>
      <c r="AG21" s="256">
        <f t="shared" si="27"/>
        <v>6.9401695291028145E-7</v>
      </c>
      <c r="AJ21" s="252">
        <v>72</v>
      </c>
      <c r="AK21" s="253">
        <f>(AK10*EXP(-LN(2)/8.04*$B21))</f>
        <v>2.1627763987576755E-7</v>
      </c>
      <c r="AL21" s="253">
        <f t="shared" si="16"/>
        <v>1.4244260586437245E-7</v>
      </c>
      <c r="AM21" s="253"/>
      <c r="AN21" s="253"/>
      <c r="AO21" s="253"/>
      <c r="AP21" s="254">
        <f t="shared" si="28"/>
        <v>1.7936012287007E-7</v>
      </c>
      <c r="AR21" s="252">
        <v>72</v>
      </c>
      <c r="AS21" s="255">
        <f>(AS10*EXP(-LN(2)/8.04*$B21))</f>
        <v>1.727548248706794E-6</v>
      </c>
      <c r="AT21" s="255">
        <f t="shared" si="17"/>
        <v>1.2103147434225567E-6</v>
      </c>
      <c r="AU21" s="255"/>
      <c r="AV21" s="255"/>
      <c r="AW21" s="255"/>
      <c r="AX21" s="256">
        <f t="shared" si="29"/>
        <v>1.4689314960646753E-6</v>
      </c>
      <c r="BA21" s="252">
        <v>72</v>
      </c>
      <c r="BB21" s="253">
        <f>(BB10*EXP(-LN(2)/8.04*$B21))</f>
        <v>5.9284415592292507E-6</v>
      </c>
      <c r="BC21" s="253">
        <f t="shared" si="18"/>
        <v>2.2840896697847713E-6</v>
      </c>
      <c r="BD21" s="253"/>
      <c r="BE21" s="253"/>
      <c r="BF21" s="253"/>
      <c r="BG21" s="254">
        <f t="shared" si="30"/>
        <v>4.106265614507011E-6</v>
      </c>
      <c r="BI21" s="252">
        <v>72</v>
      </c>
      <c r="BJ21" s="255">
        <f>(BJ10*EXP(-LN(2)/8.04*$B21))</f>
        <v>2.7220987633466589E-4</v>
      </c>
      <c r="BK21" s="255">
        <f t="shared" si="19"/>
        <v>2.1867168388052389E-5</v>
      </c>
      <c r="BL21" s="255"/>
      <c r="BM21" s="255"/>
      <c r="BN21" s="255"/>
      <c r="BO21" s="256">
        <f t="shared" si="31"/>
        <v>1.4703852236135913E-4</v>
      </c>
      <c r="BR21" s="252">
        <v>72</v>
      </c>
      <c r="BS21" s="253">
        <f>(BS10*EXP(-LN(2)/8.04*$B21))</f>
        <v>3.8729633396983022E-4</v>
      </c>
      <c r="BT21" s="253">
        <f t="shared" si="20"/>
        <v>2.3749353186269186E-6</v>
      </c>
      <c r="BU21" s="253"/>
      <c r="BV21" s="253"/>
      <c r="BW21" s="253"/>
      <c r="BX21" s="254">
        <f t="shared" si="32"/>
        <v>1.9483563464422858E-4</v>
      </c>
      <c r="BZ21" s="252">
        <v>72</v>
      </c>
      <c r="CA21" s="255">
        <f>(CA10*EXP(-LN(2)/8.04*$B21))</f>
        <v>4.4755661909136565E-5</v>
      </c>
      <c r="CB21" s="255">
        <f t="shared" si="21"/>
        <v>1.3440994018629332E-5</v>
      </c>
      <c r="CC21" s="255"/>
      <c r="CD21" s="255"/>
      <c r="CE21" s="255"/>
      <c r="CF21" s="256">
        <f t="shared" si="33"/>
        <v>2.9098327963882948E-5</v>
      </c>
      <c r="CI21" s="252">
        <v>72</v>
      </c>
      <c r="CJ21" s="253">
        <f>(CJ10*EXP(-LN(2)/8.04*$B21))</f>
        <v>1.2313108404998891E-6</v>
      </c>
      <c r="CK21" s="253">
        <f t="shared" si="22"/>
        <v>3.7644133888625066E-7</v>
      </c>
      <c r="CL21" s="253"/>
      <c r="CM21" s="253"/>
      <c r="CN21" s="253"/>
      <c r="CO21" s="254">
        <f t="shared" si="34"/>
        <v>8.0387608969306991E-7</v>
      </c>
      <c r="CQ21" s="252">
        <v>72</v>
      </c>
      <c r="CR21" s="255">
        <f>(CR10*EXP(-LN(2)/8.04*$B21))</f>
        <v>7.6152794288251809E-7</v>
      </c>
      <c r="CS21" s="255">
        <f t="shared" si="23"/>
        <v>4.9304713413466994E-7</v>
      </c>
      <c r="CT21" s="255"/>
      <c r="CU21" s="255"/>
      <c r="CV21" s="255"/>
      <c r="CW21" s="256">
        <f t="shared" si="35"/>
        <v>6.2728753850859396E-7</v>
      </c>
    </row>
    <row r="22" spans="2:102" x14ac:dyDescent="0.25">
      <c r="B22" s="252">
        <v>216</v>
      </c>
      <c r="C22" s="253">
        <f t="shared" si="12"/>
        <v>9.361099546969259E-12</v>
      </c>
      <c r="D22" s="253">
        <f t="shared" si="12"/>
        <v>2.242067151172772E-12</v>
      </c>
      <c r="E22" s="253">
        <f t="shared" si="12"/>
        <v>1.4390969852139144E-12</v>
      </c>
      <c r="F22" s="253">
        <f>(F11*EXP(-LN(2)/8.04*$B22))</f>
        <v>8.3852222143176015E-13</v>
      </c>
      <c r="G22" s="253"/>
      <c r="H22" s="254">
        <f t="shared" si="24"/>
        <v>3.4701964761969266E-12</v>
      </c>
      <c r="J22" s="252">
        <v>216</v>
      </c>
      <c r="K22" s="255">
        <f t="shared" ref="K22:M22" si="36">(K11*EXP(-LN(2)/8.04*$B22))</f>
        <v>1.7868929807951601E-11</v>
      </c>
      <c r="L22" s="255">
        <f t="shared" si="36"/>
        <v>7.0509649341026789E-12</v>
      </c>
      <c r="M22" s="255">
        <f t="shared" si="36"/>
        <v>2.8920907326407219E-12</v>
      </c>
      <c r="N22" s="255">
        <f>(N11*EXP(-LN(2)/8.04*$B22))</f>
        <v>2.0648385059690474E-12</v>
      </c>
      <c r="O22" s="255"/>
      <c r="P22" s="256">
        <f t="shared" si="25"/>
        <v>7.469205995166013E-12</v>
      </c>
      <c r="S22" s="252">
        <v>216</v>
      </c>
      <c r="T22" s="253">
        <f t="shared" ref="T22:V22" si="37">(T11*EXP(-LN(2)/8.04*$B22))</f>
        <v>1.9352307153164644E-12</v>
      </c>
      <c r="U22" s="253">
        <f t="shared" si="37"/>
        <v>2.6439398173137199E-12</v>
      </c>
      <c r="V22" s="253">
        <f t="shared" si="37"/>
        <v>1.469692729172219E-12</v>
      </c>
      <c r="W22" s="253">
        <f>(W11*EXP(-LN(2)/8.04*$B22))</f>
        <v>8.2172027774197894E-13</v>
      </c>
      <c r="X22" s="253"/>
      <c r="Y22" s="254">
        <f t="shared" si="26"/>
        <v>1.7176458848860954E-12</v>
      </c>
      <c r="AA22" s="252">
        <v>216</v>
      </c>
      <c r="AB22" s="255">
        <f t="shared" ref="AB22:AD22" si="38">(AB11*EXP(-LN(2)/8.04*$B22))</f>
        <v>4.1063717459831646E-11</v>
      </c>
      <c r="AC22" s="255">
        <f t="shared" si="38"/>
        <v>2.9952847225029845E-12</v>
      </c>
      <c r="AD22" s="255">
        <f t="shared" si="38"/>
        <v>2.1224446208575177E-12</v>
      </c>
      <c r="AE22" s="255">
        <f>(AE11*EXP(-LN(2)/8.04*$B22))</f>
        <v>1.0301286161056017E-12</v>
      </c>
      <c r="AF22" s="255"/>
      <c r="AG22" s="256">
        <f t="shared" si="27"/>
        <v>1.1802893854824436E-11</v>
      </c>
      <c r="AJ22" s="252">
        <v>216</v>
      </c>
      <c r="AK22" s="253">
        <f t="shared" ref="AK22:AM22" si="39">(AK11*EXP(-LN(2)/8.04*$B22))</f>
        <v>9.6100513735815168E-11</v>
      </c>
      <c r="AL22" s="253">
        <f t="shared" si="39"/>
        <v>1.3389741115642849E-12</v>
      </c>
      <c r="AM22" s="253">
        <f t="shared" si="39"/>
        <v>1.1107314544170002E-12</v>
      </c>
      <c r="AN22" s="253">
        <f>(AN11*EXP(-LN(2)/8.04*$B22))</f>
        <v>4.7769141023192606E-13</v>
      </c>
      <c r="AO22" s="253"/>
      <c r="AP22" s="254">
        <f t="shared" si="28"/>
        <v>2.4756977678007097E-11</v>
      </c>
      <c r="AR22" s="252">
        <v>216</v>
      </c>
      <c r="AS22" s="255">
        <f t="shared" ref="AS22:AU22" si="40">(AS11*EXP(-LN(2)/8.04*$B22))</f>
        <v>7.451557971365321E-12</v>
      </c>
      <c r="AT22" s="255">
        <f t="shared" si="40"/>
        <v>1.5800582938897396E-11</v>
      </c>
      <c r="AU22" s="255">
        <f t="shared" si="40"/>
        <v>3.1594133423593808E-12</v>
      </c>
      <c r="AV22" s="255">
        <f>(AV11*EXP(-LN(2)/8.04*$B22))</f>
        <v>5.4827517462454664E-11</v>
      </c>
      <c r="AW22" s="255"/>
      <c r="AX22" s="256">
        <f t="shared" si="29"/>
        <v>2.030976792876919E-11</v>
      </c>
      <c r="BA22" s="252">
        <v>216</v>
      </c>
      <c r="BB22" s="253">
        <f t="shared" ref="BB22:BD22" si="41">(BB11*EXP(-LN(2)/8.04*$B22))</f>
        <v>1.0557760550210755E-11</v>
      </c>
      <c r="BC22" s="253">
        <f t="shared" si="41"/>
        <v>1.710146733735582E-11</v>
      </c>
      <c r="BD22" s="253">
        <f t="shared" si="41"/>
        <v>6.2129992584144332E-12</v>
      </c>
      <c r="BE22" s="253">
        <f>(BE11*EXP(-LN(2)/8.04*$B22))</f>
        <v>7.6063350240880544E-12</v>
      </c>
      <c r="BF22" s="253"/>
      <c r="BG22" s="254">
        <f t="shared" si="30"/>
        <v>1.0369640542517266E-11</v>
      </c>
      <c r="BI22" s="252">
        <v>216</v>
      </c>
      <c r="BJ22" s="255">
        <f t="shared" ref="BJ22:BL22" si="42">(BJ11*EXP(-LN(2)/8.04*$B22))</f>
        <v>2.6133234866556459E-11</v>
      </c>
      <c r="BK22" s="255">
        <f t="shared" si="42"/>
        <v>1.633015662179778E-9</v>
      </c>
      <c r="BL22" s="255">
        <f t="shared" si="42"/>
        <v>1.9645813855453159E-11</v>
      </c>
      <c r="BM22" s="255">
        <f>(BM11*EXP(-LN(2)/8.04*$B22))</f>
        <v>9.4544004025611307E-10</v>
      </c>
      <c r="BN22" s="255"/>
      <c r="BO22" s="256">
        <f t="shared" si="31"/>
        <v>6.5605868778947517E-10</v>
      </c>
      <c r="BR22" s="252">
        <v>216</v>
      </c>
      <c r="BS22" s="253">
        <f t="shared" ref="BS22:BU22" si="43">(BS11*EXP(-LN(2)/8.04*$B22))</f>
        <v>8.0888871051311744E-12</v>
      </c>
      <c r="BT22" s="253">
        <f t="shared" si="43"/>
        <v>1.0101707598745622E-10</v>
      </c>
      <c r="BU22" s="253">
        <f t="shared" si="43"/>
        <v>5.8519255258252616E-12</v>
      </c>
      <c r="BV22" s="253">
        <f>(BV11*EXP(-LN(2)/8.04*$B22))</f>
        <v>2.2897664290596843E-9</v>
      </c>
      <c r="BW22" s="253"/>
      <c r="BX22" s="254">
        <f t="shared" si="32"/>
        <v>6.0118107941952429E-10</v>
      </c>
      <c r="BZ22" s="252">
        <v>216</v>
      </c>
      <c r="CA22" s="255">
        <f t="shared" ref="CA22:CC22" si="44">(CA11*EXP(-LN(2)/8.04*$B22))</f>
        <v>2.3964144393473359E-11</v>
      </c>
      <c r="CB22" s="255">
        <f t="shared" si="44"/>
        <v>4.1694623199814535E-10</v>
      </c>
      <c r="CC22" s="255">
        <f t="shared" si="44"/>
        <v>6.1659889332616501E-11</v>
      </c>
      <c r="CD22" s="255">
        <f>(CD11*EXP(-LN(2)/8.04*$B22))</f>
        <v>1.5375030265624696E-10</v>
      </c>
      <c r="CE22" s="255"/>
      <c r="CF22" s="256">
        <f t="shared" si="33"/>
        <v>1.6408014209512053E-10</v>
      </c>
      <c r="CI22" s="252">
        <v>216</v>
      </c>
      <c r="CJ22" s="253">
        <f t="shared" ref="CJ22:CL22" si="45">(CJ11*EXP(-LN(2)/8.04*$B22))</f>
        <v>3.9109120450526206E-12</v>
      </c>
      <c r="CK22" s="253">
        <f t="shared" si="45"/>
        <v>1.2840316610872066E-11</v>
      </c>
      <c r="CL22" s="253">
        <f t="shared" si="45"/>
        <v>1.3918783009859603E-11</v>
      </c>
      <c r="CM22" s="253">
        <f>(CM11*EXP(-LN(2)/8.04*$B22))</f>
        <v>7.1511814693854718E-11</v>
      </c>
      <c r="CN22" s="253"/>
      <c r="CO22" s="254">
        <f t="shared" si="34"/>
        <v>2.5545456589909753E-11</v>
      </c>
      <c r="CQ22" s="252">
        <v>216</v>
      </c>
      <c r="CR22" s="255">
        <f t="shared" ref="CR22:CT22" si="46">(CR11*EXP(-LN(2)/8.04*$B22))</f>
        <v>2.8328699978727873E-12</v>
      </c>
      <c r="CS22" s="255">
        <f t="shared" si="46"/>
        <v>3.9201071553452903E-12</v>
      </c>
      <c r="CT22" s="255">
        <f t="shared" si="46"/>
        <v>4.9858136488284762E-12</v>
      </c>
      <c r="CU22" s="255">
        <f>(CU11*EXP(-LN(2)/8.04*$B22))</f>
        <v>1.7347749956600579E-12</v>
      </c>
      <c r="CV22" s="255"/>
      <c r="CW22" s="256">
        <f t="shared" si="35"/>
        <v>3.3683914494266531E-12</v>
      </c>
    </row>
    <row r="23" spans="2:102" x14ac:dyDescent="0.25">
      <c r="B23" s="252"/>
      <c r="C23" s="253"/>
      <c r="D23" s="253"/>
      <c r="E23" s="253"/>
      <c r="F23" s="253"/>
      <c r="G23" s="253"/>
      <c r="H23" s="254" t="e">
        <f t="shared" si="24"/>
        <v>#DIV/0!</v>
      </c>
      <c r="J23" s="252"/>
      <c r="K23" s="255"/>
      <c r="L23" s="255"/>
      <c r="M23" s="255"/>
      <c r="N23" s="255"/>
      <c r="O23" s="255"/>
      <c r="P23" s="256"/>
      <c r="S23" s="252"/>
      <c r="T23" s="253"/>
      <c r="U23" s="253"/>
      <c r="V23" s="253"/>
      <c r="W23" s="253"/>
      <c r="X23" s="253"/>
      <c r="Y23" s="254" t="e">
        <f t="shared" si="26"/>
        <v>#DIV/0!</v>
      </c>
      <c r="AA23" s="252"/>
      <c r="AB23" s="255"/>
      <c r="AC23" s="255"/>
      <c r="AD23" s="255"/>
      <c r="AE23" s="255"/>
      <c r="AF23" s="255"/>
      <c r="AG23" s="256"/>
      <c r="AJ23" s="252"/>
      <c r="AK23" s="253"/>
      <c r="AL23" s="253"/>
      <c r="AM23" s="253"/>
      <c r="AN23" s="253"/>
      <c r="AO23" s="253"/>
      <c r="AP23" s="254" t="e">
        <f t="shared" si="28"/>
        <v>#DIV/0!</v>
      </c>
      <c r="AR23" s="252"/>
      <c r="AS23" s="255"/>
      <c r="AT23" s="255"/>
      <c r="AU23" s="255"/>
      <c r="AV23" s="255"/>
      <c r="AW23" s="255"/>
      <c r="AX23" s="256"/>
      <c r="BA23" s="252"/>
      <c r="BB23" s="253"/>
      <c r="BC23" s="253"/>
      <c r="BD23" s="253"/>
      <c r="BE23" s="253"/>
      <c r="BF23" s="253"/>
      <c r="BG23" s="254" t="e">
        <f t="shared" si="30"/>
        <v>#DIV/0!</v>
      </c>
      <c r="BI23" s="252"/>
      <c r="BJ23" s="255"/>
      <c r="BK23" s="255"/>
      <c r="BL23" s="255"/>
      <c r="BM23" s="255"/>
      <c r="BN23" s="255"/>
      <c r="BO23" s="256"/>
      <c r="BR23" s="252"/>
      <c r="BS23" s="253"/>
      <c r="BT23" s="253"/>
      <c r="BU23" s="253"/>
      <c r="BV23" s="253"/>
      <c r="BW23" s="253"/>
      <c r="BX23" s="254" t="e">
        <f t="shared" si="32"/>
        <v>#DIV/0!</v>
      </c>
      <c r="BZ23" s="252"/>
      <c r="CA23" s="255"/>
      <c r="CB23" s="255"/>
      <c r="CC23" s="255"/>
      <c r="CD23" s="255"/>
      <c r="CE23" s="255"/>
      <c r="CF23" s="256"/>
      <c r="CI23" s="252"/>
      <c r="CJ23" s="253"/>
      <c r="CK23" s="253"/>
      <c r="CL23" s="253"/>
      <c r="CM23" s="253"/>
      <c r="CN23" s="253"/>
      <c r="CO23" s="254" t="e">
        <f t="shared" si="34"/>
        <v>#DIV/0!</v>
      </c>
      <c r="CQ23" s="252"/>
      <c r="CR23" s="255"/>
      <c r="CS23" s="255"/>
      <c r="CT23" s="255"/>
      <c r="CU23" s="255"/>
      <c r="CV23" s="255"/>
      <c r="CW23" s="256"/>
    </row>
    <row r="24" spans="2:102" x14ac:dyDescent="0.25">
      <c r="B24" s="252"/>
      <c r="C24" s="253"/>
      <c r="D24" s="253"/>
      <c r="E24" s="253"/>
      <c r="F24" s="253"/>
      <c r="G24" s="253"/>
      <c r="H24" s="254" t="e">
        <f t="shared" si="24"/>
        <v>#DIV/0!</v>
      </c>
      <c r="J24" s="252"/>
      <c r="K24" s="255"/>
      <c r="L24" s="255"/>
      <c r="M24" s="255"/>
      <c r="N24" s="255"/>
      <c r="O24" s="255"/>
      <c r="P24" s="256"/>
      <c r="S24" s="252"/>
      <c r="T24" s="253"/>
      <c r="U24" s="253"/>
      <c r="V24" s="253"/>
      <c r="W24" s="253"/>
      <c r="X24" s="253"/>
      <c r="Y24" s="254" t="e">
        <f t="shared" si="26"/>
        <v>#DIV/0!</v>
      </c>
      <c r="AA24" s="252"/>
      <c r="AB24" s="255"/>
      <c r="AC24" s="255"/>
      <c r="AD24" s="255"/>
      <c r="AE24" s="255"/>
      <c r="AF24" s="255"/>
      <c r="AG24" s="256"/>
      <c r="AJ24" s="252"/>
      <c r="AK24" s="253"/>
      <c r="AL24" s="253"/>
      <c r="AM24" s="253"/>
      <c r="AN24" s="253"/>
      <c r="AO24" s="253"/>
      <c r="AP24" s="254" t="e">
        <f t="shared" si="28"/>
        <v>#DIV/0!</v>
      </c>
      <c r="AR24" s="252"/>
      <c r="AS24" s="255"/>
      <c r="AT24" s="255"/>
      <c r="AU24" s="255"/>
      <c r="AV24" s="255"/>
      <c r="AW24" s="255"/>
      <c r="AX24" s="256"/>
      <c r="BA24" s="252"/>
      <c r="BB24" s="253"/>
      <c r="BC24" s="253"/>
      <c r="BD24" s="253"/>
      <c r="BE24" s="253"/>
      <c r="BF24" s="253"/>
      <c r="BG24" s="254" t="e">
        <f t="shared" si="30"/>
        <v>#DIV/0!</v>
      </c>
      <c r="BI24" s="252"/>
      <c r="BJ24" s="255"/>
      <c r="BK24" s="255"/>
      <c r="BL24" s="255"/>
      <c r="BM24" s="255"/>
      <c r="BN24" s="255"/>
      <c r="BO24" s="256"/>
      <c r="BR24" s="252"/>
      <c r="BS24" s="253"/>
      <c r="BT24" s="253"/>
      <c r="BU24" s="253"/>
      <c r="BV24" s="253"/>
      <c r="BW24" s="253"/>
      <c r="BX24" s="254" t="e">
        <f t="shared" si="32"/>
        <v>#DIV/0!</v>
      </c>
      <c r="BZ24" s="252"/>
      <c r="CA24" s="255"/>
      <c r="CB24" s="255"/>
      <c r="CC24" s="255"/>
      <c r="CD24" s="255"/>
      <c r="CE24" s="255"/>
      <c r="CF24" s="256"/>
      <c r="CI24" s="252"/>
      <c r="CJ24" s="253"/>
      <c r="CK24" s="253"/>
      <c r="CL24" s="253"/>
      <c r="CM24" s="253"/>
      <c r="CN24" s="253"/>
      <c r="CO24" s="254" t="e">
        <f t="shared" si="34"/>
        <v>#DIV/0!</v>
      </c>
      <c r="CQ24" s="252"/>
      <c r="CR24" s="255"/>
      <c r="CS24" s="255"/>
      <c r="CT24" s="255"/>
      <c r="CU24" s="255"/>
      <c r="CV24" s="255"/>
      <c r="CW24" s="256"/>
    </row>
    <row r="25" spans="2:102" x14ac:dyDescent="0.25">
      <c r="K25" s="260"/>
      <c r="L25" s="260"/>
      <c r="M25" s="260"/>
      <c r="N25" s="260"/>
      <c r="O25" s="260"/>
      <c r="P25" s="260"/>
      <c r="AB25" s="260"/>
      <c r="AC25" s="260"/>
      <c r="AD25" s="260"/>
      <c r="AE25" s="260"/>
      <c r="AF25" s="260"/>
      <c r="AG25" s="260"/>
      <c r="AS25" s="260"/>
      <c r="AT25" s="260"/>
      <c r="AU25" s="260"/>
      <c r="AV25" s="260"/>
      <c r="AW25" s="260"/>
      <c r="AX25" s="260"/>
      <c r="BJ25" s="260"/>
      <c r="BK25" s="260"/>
      <c r="BL25" s="260"/>
      <c r="BM25" s="260"/>
      <c r="BN25" s="260"/>
      <c r="BO25" s="260"/>
      <c r="CA25" s="260"/>
      <c r="CB25" s="260"/>
      <c r="CC25" s="260"/>
      <c r="CD25" s="260"/>
      <c r="CE25" s="260"/>
      <c r="CF25" s="260"/>
      <c r="CR25" s="260"/>
      <c r="CS25" s="260"/>
      <c r="CT25" s="260"/>
      <c r="CU25" s="260"/>
      <c r="CV25" s="260"/>
      <c r="CW25" s="260"/>
    </row>
    <row r="26" spans="2:102" ht="21.75" thickBot="1" x14ac:dyDescent="0.35">
      <c r="B26" s="246" t="s">
        <v>70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7"/>
      <c r="S26" s="246" t="s">
        <v>70</v>
      </c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7"/>
      <c r="AJ26" s="246" t="s">
        <v>70</v>
      </c>
      <c r="AK26" s="246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246"/>
      <c r="AY26" s="247"/>
      <c r="BA26" s="246" t="s">
        <v>70</v>
      </c>
      <c r="BB26" s="246"/>
      <c r="BC26" s="246"/>
      <c r="BD26" s="246"/>
      <c r="BE26" s="246"/>
      <c r="BF26" s="246"/>
      <c r="BG26" s="246"/>
      <c r="BH26" s="246"/>
      <c r="BI26" s="246"/>
      <c r="BJ26" s="246"/>
      <c r="BK26" s="246"/>
      <c r="BL26" s="246"/>
      <c r="BM26" s="246"/>
      <c r="BN26" s="246"/>
      <c r="BO26" s="246"/>
      <c r="BP26" s="247"/>
      <c r="BR26" s="246" t="s">
        <v>70</v>
      </c>
      <c r="BS26" s="246"/>
      <c r="BT26" s="246"/>
      <c r="BU26" s="246"/>
      <c r="BV26" s="246"/>
      <c r="BW26" s="246"/>
      <c r="BX26" s="246"/>
      <c r="BY26" s="246"/>
      <c r="BZ26" s="246"/>
      <c r="CA26" s="246"/>
      <c r="CB26" s="246"/>
      <c r="CC26" s="246"/>
      <c r="CD26" s="246"/>
      <c r="CE26" s="246"/>
      <c r="CF26" s="246"/>
      <c r="CG26" s="247"/>
      <c r="CI26" s="246" t="s">
        <v>70</v>
      </c>
      <c r="CJ26" s="246"/>
      <c r="CK26" s="246"/>
      <c r="CL26" s="246"/>
      <c r="CM26" s="246"/>
      <c r="CN26" s="246"/>
      <c r="CO26" s="246"/>
      <c r="CP26" s="246"/>
      <c r="CQ26" s="246"/>
      <c r="CR26" s="246"/>
      <c r="CS26" s="246"/>
      <c r="CT26" s="246"/>
      <c r="CU26" s="246"/>
      <c r="CV26" s="246"/>
      <c r="CW26" s="246"/>
      <c r="CX26" s="247"/>
    </row>
    <row r="27" spans="2:102" ht="7.5" customHeight="1" x14ac:dyDescent="0.3"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248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I27" s="248"/>
      <c r="CJ27" s="248"/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  <c r="CU27" s="248"/>
      <c r="CV27" s="248"/>
      <c r="CW27" s="248"/>
    </row>
    <row r="28" spans="2:102" x14ac:dyDescent="0.25">
      <c r="B28" s="249" t="s">
        <v>62</v>
      </c>
      <c r="C28" s="250" t="s">
        <v>63</v>
      </c>
      <c r="D28" s="250" t="s">
        <v>64</v>
      </c>
      <c r="E28" s="250" t="s">
        <v>65</v>
      </c>
      <c r="F28" s="250" t="s">
        <v>66</v>
      </c>
      <c r="G28" s="250" t="s">
        <v>67</v>
      </c>
      <c r="H28" s="251" t="s">
        <v>68</v>
      </c>
      <c r="J28" s="249" t="s">
        <v>62</v>
      </c>
      <c r="K28" s="250" t="s">
        <v>63</v>
      </c>
      <c r="L28" s="250" t="s">
        <v>64</v>
      </c>
      <c r="M28" s="250" t="s">
        <v>65</v>
      </c>
      <c r="N28" s="250" t="s">
        <v>66</v>
      </c>
      <c r="O28" s="250" t="s">
        <v>67</v>
      </c>
      <c r="P28" s="251" t="s">
        <v>68</v>
      </c>
      <c r="S28" s="249" t="s">
        <v>62</v>
      </c>
      <c r="T28" s="250" t="s">
        <v>63</v>
      </c>
      <c r="U28" s="250" t="s">
        <v>64</v>
      </c>
      <c r="V28" s="250" t="s">
        <v>65</v>
      </c>
      <c r="W28" s="250" t="s">
        <v>66</v>
      </c>
      <c r="X28" s="250" t="s">
        <v>67</v>
      </c>
      <c r="Y28" s="251" t="s">
        <v>68</v>
      </c>
      <c r="AA28" s="249" t="s">
        <v>62</v>
      </c>
      <c r="AB28" s="250" t="s">
        <v>63</v>
      </c>
      <c r="AC28" s="250" t="s">
        <v>64</v>
      </c>
      <c r="AD28" s="250" t="s">
        <v>65</v>
      </c>
      <c r="AE28" s="250" t="s">
        <v>66</v>
      </c>
      <c r="AF28" s="250" t="s">
        <v>67</v>
      </c>
      <c r="AG28" s="251" t="s">
        <v>68</v>
      </c>
      <c r="AJ28" s="249" t="s">
        <v>62</v>
      </c>
      <c r="AK28" s="250" t="s">
        <v>63</v>
      </c>
      <c r="AL28" s="250" t="s">
        <v>64</v>
      </c>
      <c r="AM28" s="250" t="s">
        <v>65</v>
      </c>
      <c r="AN28" s="250" t="s">
        <v>66</v>
      </c>
      <c r="AO28" s="250" t="s">
        <v>67</v>
      </c>
      <c r="AP28" s="251" t="s">
        <v>68</v>
      </c>
      <c r="AR28" s="249" t="s">
        <v>62</v>
      </c>
      <c r="AS28" s="250" t="s">
        <v>63</v>
      </c>
      <c r="AT28" s="250" t="s">
        <v>64</v>
      </c>
      <c r="AU28" s="250" t="s">
        <v>65</v>
      </c>
      <c r="AV28" s="250" t="s">
        <v>66</v>
      </c>
      <c r="AW28" s="250" t="s">
        <v>67</v>
      </c>
      <c r="AX28" s="251" t="s">
        <v>68</v>
      </c>
      <c r="BA28" s="249" t="s">
        <v>62</v>
      </c>
      <c r="BB28" s="250" t="s">
        <v>63</v>
      </c>
      <c r="BC28" s="250" t="s">
        <v>64</v>
      </c>
      <c r="BD28" s="250" t="s">
        <v>65</v>
      </c>
      <c r="BE28" s="250" t="s">
        <v>66</v>
      </c>
      <c r="BF28" s="250" t="s">
        <v>67</v>
      </c>
      <c r="BG28" s="251" t="s">
        <v>68</v>
      </c>
      <c r="BI28" s="249" t="s">
        <v>62</v>
      </c>
      <c r="BJ28" s="250" t="s">
        <v>63</v>
      </c>
      <c r="BK28" s="250" t="s">
        <v>64</v>
      </c>
      <c r="BL28" s="250" t="s">
        <v>65</v>
      </c>
      <c r="BM28" s="250" t="s">
        <v>66</v>
      </c>
      <c r="BN28" s="250" t="s">
        <v>67</v>
      </c>
      <c r="BO28" s="251" t="s">
        <v>68</v>
      </c>
      <c r="BR28" s="249" t="s">
        <v>62</v>
      </c>
      <c r="BS28" s="250" t="s">
        <v>63</v>
      </c>
      <c r="BT28" s="250" t="s">
        <v>64</v>
      </c>
      <c r="BU28" s="250" t="s">
        <v>65</v>
      </c>
      <c r="BV28" s="250" t="s">
        <v>66</v>
      </c>
      <c r="BW28" s="250" t="s">
        <v>67</v>
      </c>
      <c r="BX28" s="251" t="s">
        <v>68</v>
      </c>
      <c r="BZ28" s="249" t="s">
        <v>62</v>
      </c>
      <c r="CA28" s="250" t="s">
        <v>63</v>
      </c>
      <c r="CB28" s="250" t="s">
        <v>64</v>
      </c>
      <c r="CC28" s="250" t="s">
        <v>65</v>
      </c>
      <c r="CD28" s="250" t="s">
        <v>66</v>
      </c>
      <c r="CE28" s="250" t="s">
        <v>67</v>
      </c>
      <c r="CF28" s="251" t="s">
        <v>68</v>
      </c>
      <c r="CI28" s="249" t="s">
        <v>62</v>
      </c>
      <c r="CJ28" s="250" t="s">
        <v>63</v>
      </c>
      <c r="CK28" s="250" t="s">
        <v>64</v>
      </c>
      <c r="CL28" s="250" t="s">
        <v>65</v>
      </c>
      <c r="CM28" s="250" t="s">
        <v>66</v>
      </c>
      <c r="CN28" s="250" t="s">
        <v>67</v>
      </c>
      <c r="CO28" s="251" t="s">
        <v>68</v>
      </c>
      <c r="CQ28" s="249" t="s">
        <v>62</v>
      </c>
      <c r="CR28" s="250" t="s">
        <v>63</v>
      </c>
      <c r="CS28" s="250" t="s">
        <v>64</v>
      </c>
      <c r="CT28" s="250" t="s">
        <v>65</v>
      </c>
      <c r="CU28" s="250" t="s">
        <v>66</v>
      </c>
      <c r="CV28" s="250" t="s">
        <v>67</v>
      </c>
      <c r="CW28" s="251" t="s">
        <v>68</v>
      </c>
    </row>
    <row r="29" spans="2:102" x14ac:dyDescent="0.25">
      <c r="B29" s="257">
        <v>0</v>
      </c>
      <c r="C29" s="258">
        <v>0</v>
      </c>
      <c r="D29" s="258">
        <v>0</v>
      </c>
      <c r="E29" s="258">
        <v>0</v>
      </c>
      <c r="F29" s="258">
        <v>0</v>
      </c>
      <c r="G29" s="258"/>
      <c r="H29" s="254">
        <f>AVERAGE(C29:G29)</f>
        <v>0</v>
      </c>
      <c r="J29" s="257">
        <v>0</v>
      </c>
      <c r="K29" s="259">
        <v>0</v>
      </c>
      <c r="L29" s="259">
        <v>0</v>
      </c>
      <c r="M29" s="259">
        <v>0</v>
      </c>
      <c r="N29" s="259">
        <v>0</v>
      </c>
      <c r="O29" s="259"/>
      <c r="P29" s="256">
        <f>AVERAGE(K29:O29)</f>
        <v>0</v>
      </c>
      <c r="S29" s="257">
        <v>0</v>
      </c>
      <c r="T29" s="258">
        <v>0</v>
      </c>
      <c r="U29" s="258">
        <v>0</v>
      </c>
      <c r="V29" s="258">
        <v>0</v>
      </c>
      <c r="W29" s="258">
        <v>0</v>
      </c>
      <c r="X29" s="258"/>
      <c r="Y29" s="254">
        <f>AVERAGE(T29:X29)</f>
        <v>0</v>
      </c>
      <c r="AA29" s="257">
        <v>0</v>
      </c>
      <c r="AB29" s="259">
        <v>0</v>
      </c>
      <c r="AC29" s="259">
        <v>0</v>
      </c>
      <c r="AD29" s="259">
        <v>0</v>
      </c>
      <c r="AE29" s="259">
        <v>0</v>
      </c>
      <c r="AF29" s="259"/>
      <c r="AG29" s="256">
        <f>AVERAGE(AB29:AF29)</f>
        <v>0</v>
      </c>
      <c r="AJ29" s="257">
        <v>0</v>
      </c>
      <c r="AK29" s="258">
        <v>0</v>
      </c>
      <c r="AL29" s="258">
        <v>0</v>
      </c>
      <c r="AM29" s="258">
        <v>0</v>
      </c>
      <c r="AN29" s="258">
        <v>0</v>
      </c>
      <c r="AO29" s="258"/>
      <c r="AP29" s="254">
        <f>AVERAGE(AK29:AO29)</f>
        <v>0</v>
      </c>
      <c r="AR29" s="257">
        <v>0</v>
      </c>
      <c r="AS29" s="259">
        <v>0</v>
      </c>
      <c r="AT29" s="259">
        <v>0</v>
      </c>
      <c r="AU29" s="259">
        <v>0</v>
      </c>
      <c r="AV29" s="259">
        <v>0</v>
      </c>
      <c r="AW29" s="259"/>
      <c r="AX29" s="256">
        <f>AVERAGE(AS29:AW29)</f>
        <v>0</v>
      </c>
      <c r="BA29" s="257">
        <v>0</v>
      </c>
      <c r="BB29" s="258">
        <v>0</v>
      </c>
      <c r="BC29" s="258">
        <v>0</v>
      </c>
      <c r="BD29" s="258">
        <v>0</v>
      </c>
      <c r="BE29" s="258">
        <v>0</v>
      </c>
      <c r="BF29" s="258"/>
      <c r="BG29" s="254">
        <f>AVERAGE(BB29:BF29)</f>
        <v>0</v>
      </c>
      <c r="BI29" s="257">
        <v>0</v>
      </c>
      <c r="BJ29" s="259">
        <v>0</v>
      </c>
      <c r="BK29" s="259">
        <v>0</v>
      </c>
      <c r="BL29" s="259">
        <v>0</v>
      </c>
      <c r="BM29" s="259">
        <v>0</v>
      </c>
      <c r="BN29" s="259"/>
      <c r="BO29" s="256">
        <f>AVERAGE(BJ29:BN29)</f>
        <v>0</v>
      </c>
      <c r="BR29" s="257">
        <v>0</v>
      </c>
      <c r="BS29" s="258">
        <v>0</v>
      </c>
      <c r="BT29" s="258">
        <v>0</v>
      </c>
      <c r="BU29" s="258">
        <v>0</v>
      </c>
      <c r="BV29" s="258">
        <v>0</v>
      </c>
      <c r="BW29" s="258"/>
      <c r="BX29" s="254">
        <f>AVERAGE(BS29:BW29)</f>
        <v>0</v>
      </c>
      <c r="BZ29" s="257">
        <v>0</v>
      </c>
      <c r="CA29" s="259">
        <v>0</v>
      </c>
      <c r="CB29" s="259">
        <v>0</v>
      </c>
      <c r="CC29" s="259">
        <v>0</v>
      </c>
      <c r="CD29" s="259">
        <v>0</v>
      </c>
      <c r="CE29" s="259"/>
      <c r="CF29" s="256">
        <f>AVERAGE(CA29:CE29)</f>
        <v>0</v>
      </c>
      <c r="CI29" s="257">
        <v>0</v>
      </c>
      <c r="CJ29" s="258">
        <v>0</v>
      </c>
      <c r="CK29" s="258">
        <v>0</v>
      </c>
      <c r="CL29" s="258">
        <v>0</v>
      </c>
      <c r="CM29" s="258">
        <v>0</v>
      </c>
      <c r="CN29" s="258"/>
      <c r="CO29" s="254">
        <f>AVERAGE(CJ29:CN29)</f>
        <v>0</v>
      </c>
      <c r="CQ29" s="257">
        <v>0</v>
      </c>
      <c r="CR29" s="259">
        <v>0</v>
      </c>
      <c r="CS29" s="259">
        <v>0</v>
      </c>
      <c r="CT29" s="259">
        <v>0</v>
      </c>
      <c r="CU29" s="259">
        <v>0</v>
      </c>
      <c r="CV29" s="259"/>
      <c r="CW29" s="256">
        <f>AVERAGE(CR29:CV29)</f>
        <v>0</v>
      </c>
    </row>
    <row r="30" spans="2:102" x14ac:dyDescent="0.25">
      <c r="B30" s="252">
        <v>24</v>
      </c>
      <c r="C30" s="253">
        <f>(C19/100)*$C$38*1000</f>
        <v>9.5180482886109271E-4</v>
      </c>
      <c r="D30" s="253">
        <f t="shared" ref="D30:F31" si="47">(D19/100)*$C$38*1000</f>
        <v>6.3847295405027645E-4</v>
      </c>
      <c r="E30" s="253">
        <f t="shared" si="47"/>
        <v>2.9114180487010326E-4</v>
      </c>
      <c r="F30" s="253">
        <f t="shared" si="47"/>
        <v>5.4610621133365748E-4</v>
      </c>
      <c r="G30" s="253"/>
      <c r="H30" s="254">
        <f>AVERAGE(C30:G30)</f>
        <v>6.0688144977878245E-4</v>
      </c>
      <c r="J30" s="252">
        <v>24</v>
      </c>
      <c r="K30" s="255">
        <f>(K19/100)*$C$38*1000</f>
        <v>2.1078185613784234E-3</v>
      </c>
      <c r="L30" s="255">
        <f t="shared" ref="L30:N30" si="48">(L19/100)*$C$38*1000</f>
        <v>1.6202073334251335E-3</v>
      </c>
      <c r="M30" s="255">
        <f t="shared" si="48"/>
        <v>5.0750661449276203E-4</v>
      </c>
      <c r="N30" s="255">
        <f t="shared" si="48"/>
        <v>7.8013501120496745E-4</v>
      </c>
      <c r="O30" s="255"/>
      <c r="P30" s="256">
        <f>AVERAGE(K30:O30)</f>
        <v>1.2539168801253215E-3</v>
      </c>
      <c r="S30" s="252">
        <v>24</v>
      </c>
      <c r="T30" s="253">
        <f>(T19/100)*$C$38*1000</f>
        <v>2.4639328606567188E-4</v>
      </c>
      <c r="U30" s="253">
        <f t="shared" ref="U30:W30" si="49">(U19/100)*$C$38*1000</f>
        <v>9.7038714976537823E-4</v>
      </c>
      <c r="V30" s="253">
        <f t="shared" si="49"/>
        <v>4.730293357354398E-4</v>
      </c>
      <c r="W30" s="253">
        <f t="shared" si="49"/>
        <v>1.0379582208219884E-3</v>
      </c>
      <c r="X30" s="253"/>
      <c r="Y30" s="254">
        <f>AVERAGE(T30:X30)</f>
        <v>6.8194199809711964E-4</v>
      </c>
      <c r="AA30" s="252">
        <v>24</v>
      </c>
      <c r="AB30" s="255">
        <f>(AB19/100)*$C$38*1000</f>
        <v>1.995763955149419E-3</v>
      </c>
      <c r="AC30" s="255">
        <f t="shared" ref="AC30:AE30" si="50">(AC19/100)*$C$38*1000</f>
        <v>1.1350254472662748E-3</v>
      </c>
      <c r="AD30" s="255">
        <f t="shared" si="50"/>
        <v>3.742388292429292E-4</v>
      </c>
      <c r="AE30" s="255">
        <f t="shared" si="50"/>
        <v>1.0844559759753112E-3</v>
      </c>
      <c r="AF30" s="255"/>
      <c r="AG30" s="256">
        <f>AVERAGE(AB30:AF30)</f>
        <v>1.1473710519084835E-3</v>
      </c>
      <c r="AJ30" s="252">
        <v>24</v>
      </c>
      <c r="AK30" s="253">
        <f>(AK19/100)*$C$38*1000</f>
        <v>4.438756232490417E-3</v>
      </c>
      <c r="AL30" s="253">
        <f t="shared" ref="AL30:AN30" si="51">(AL19/100)*$C$38*1000</f>
        <v>7.580871437004792E-4</v>
      </c>
      <c r="AM30" s="253">
        <f t="shared" si="51"/>
        <v>3.9353590875309619E-5</v>
      </c>
      <c r="AN30" s="253">
        <f t="shared" si="51"/>
        <v>2.1156968808204243E-4</v>
      </c>
      <c r="AO30" s="253"/>
      <c r="AP30" s="254">
        <f>AVERAGE(AK30:AO30)</f>
        <v>1.361941663787062E-3</v>
      </c>
      <c r="AR30" s="252">
        <v>24</v>
      </c>
      <c r="AS30" s="255">
        <f>(AS19/100)*$C$38*1000</f>
        <v>5.7956883715275232E-4</v>
      </c>
      <c r="AT30" s="255">
        <f t="shared" ref="AT30:AV30" si="52">(AT19/100)*$C$38*1000</f>
        <v>3.2108014831157064E-3</v>
      </c>
      <c r="AU30" s="255">
        <f t="shared" si="52"/>
        <v>1.9229813936935448E-3</v>
      </c>
      <c r="AV30" s="255">
        <f t="shared" si="52"/>
        <v>7.9076412689615863E-4</v>
      </c>
      <c r="AW30" s="255"/>
      <c r="AX30" s="256">
        <f>AVERAGE(AS30:AW30)</f>
        <v>1.6260289602145405E-3</v>
      </c>
      <c r="BA30" s="252">
        <v>24</v>
      </c>
      <c r="BB30" s="253">
        <f>(BB19/100)*$C$38*1000</f>
        <v>6.836421338792969E-4</v>
      </c>
      <c r="BC30" s="253">
        <f t="shared" ref="BC30:BE30" si="53">(BC19/100)*$C$38*1000</f>
        <v>4.4845156347091287E-3</v>
      </c>
      <c r="BD30" s="253">
        <f t="shared" si="53"/>
        <v>1.0129408943077866E-3</v>
      </c>
      <c r="BE30" s="253">
        <f t="shared" si="53"/>
        <v>1.2207533071800271E-3</v>
      </c>
      <c r="BF30" s="253"/>
      <c r="BG30" s="254">
        <f>AVERAGE(BB30:BF30)</f>
        <v>1.8504629925190595E-3</v>
      </c>
      <c r="BI30" s="252">
        <v>24</v>
      </c>
      <c r="BJ30" s="255">
        <f>(BJ19/100)*$C$38*1000</f>
        <v>1.5296303516035724E-2</v>
      </c>
      <c r="BK30" s="255">
        <f t="shared" ref="BK30:BM30" si="54">(BK19/100)*$C$38*1000</f>
        <v>9.5312702261547269E-2</v>
      </c>
      <c r="BL30" s="255">
        <f t="shared" si="54"/>
        <v>1.1084251538956544E-2</v>
      </c>
      <c r="BM30" s="255">
        <f t="shared" si="54"/>
        <v>4.0125037927180182E-2</v>
      </c>
      <c r="BN30" s="255"/>
      <c r="BO30" s="256">
        <f>AVERAGE(BJ30:BN30)</f>
        <v>4.0454573810929928E-2</v>
      </c>
      <c r="BR30" s="252">
        <v>24</v>
      </c>
      <c r="BS30" s="253">
        <f>(BS19/100)*$C$38*1000</f>
        <v>4.4445385651890268E-2</v>
      </c>
      <c r="BT30" s="253">
        <f t="shared" ref="BT30:BV30" si="55">(BT19/100)*$C$38*1000</f>
        <v>7.757919063380482E-2</v>
      </c>
      <c r="BU30" s="253">
        <f t="shared" si="55"/>
        <v>2.8989749945369119E-3</v>
      </c>
      <c r="BV30" s="253">
        <f t="shared" si="55"/>
        <v>3.9943477730169583E-3</v>
      </c>
      <c r="BW30" s="253"/>
      <c r="BX30" s="254">
        <f>AVERAGE(BS30:BW30)</f>
        <v>3.2229474763312241E-2</v>
      </c>
      <c r="BZ30" s="252">
        <v>24</v>
      </c>
      <c r="CA30" s="255">
        <f>(CA19/100)*$C$38*1000</f>
        <v>1.029786453580365E-2</v>
      </c>
      <c r="CB30" s="255">
        <f t="shared" ref="CB30:CD30" si="56">(CB19/100)*$C$38*1000</f>
        <v>2.9243448716333192E-2</v>
      </c>
      <c r="CC30" s="255">
        <f t="shared" si="56"/>
        <v>3.1681535085089051E-3</v>
      </c>
      <c r="CD30" s="255">
        <f t="shared" si="56"/>
        <v>6.4928060413861108E-2</v>
      </c>
      <c r="CE30" s="255"/>
      <c r="CF30" s="256">
        <f>AVERAGE(CA30:CE30)</f>
        <v>2.6909381793626713E-2</v>
      </c>
      <c r="CI30" s="252">
        <v>24</v>
      </c>
      <c r="CJ30" s="253">
        <f>(CJ19/100)*$C$38*1000</f>
        <v>1.6754177774287824E-3</v>
      </c>
      <c r="CK30" s="253">
        <f t="shared" ref="CK30:CM30" si="57">(CK19/100)*$C$38*1000</f>
        <v>1.8627791721557956E-3</v>
      </c>
      <c r="CL30" s="253">
        <f t="shared" si="57"/>
        <v>3.4564610947482294E-4</v>
      </c>
      <c r="CM30" s="253">
        <f t="shared" si="57"/>
        <v>3.8843157670349271E-3</v>
      </c>
      <c r="CN30" s="253"/>
      <c r="CO30" s="254">
        <f>AVERAGE(CJ30:CN30)</f>
        <v>1.942039706523582E-3</v>
      </c>
      <c r="CQ30" s="252">
        <v>24</v>
      </c>
      <c r="CR30" s="255">
        <f>(CR19/100)*$C$38*1000</f>
        <v>5.5666268449416556E-3</v>
      </c>
      <c r="CS30" s="255">
        <f t="shared" ref="CS30:CU30" si="58">(CS19/100)*$C$38*1000</f>
        <v>3.0576177998183404E-3</v>
      </c>
      <c r="CT30" s="255">
        <f t="shared" si="58"/>
        <v>2.5399614484418018E-3</v>
      </c>
      <c r="CU30" s="255">
        <f t="shared" si="58"/>
        <v>4.017559050704023E-3</v>
      </c>
      <c r="CV30" s="255"/>
      <c r="CW30" s="256">
        <f>AVERAGE(CR30:CV30)</f>
        <v>3.7954412859764548E-3</v>
      </c>
    </row>
    <row r="31" spans="2:102" x14ac:dyDescent="0.25">
      <c r="B31" s="252">
        <v>48</v>
      </c>
      <c r="C31" s="253">
        <f t="shared" ref="C31:F33" si="59">(C20/100)*$C$38*1000</f>
        <v>6.3414041485312432E-5</v>
      </c>
      <c r="D31" s="253">
        <f t="shared" si="59"/>
        <v>2.607294525692871E-5</v>
      </c>
      <c r="E31" s="253">
        <f t="shared" si="59"/>
        <v>1.3160944286827111E-4</v>
      </c>
      <c r="F31" s="253">
        <f t="shared" si="47"/>
        <v>2.1185735645523147E-5</v>
      </c>
      <c r="G31" s="253"/>
      <c r="H31" s="254">
        <f t="shared" ref="H31:H35" si="60">AVERAGE(C31:G31)</f>
        <v>6.0570541314008853E-5</v>
      </c>
      <c r="J31" s="252">
        <v>48</v>
      </c>
      <c r="K31" s="255">
        <f t="shared" ref="K31:N33" si="61">(K20/100)*$C$38*1000</f>
        <v>1.4685906059856677E-4</v>
      </c>
      <c r="L31" s="255">
        <f t="shared" si="61"/>
        <v>4.2484702918011126E-5</v>
      </c>
      <c r="M31" s="255">
        <f t="shared" si="61"/>
        <v>4.2626874219341653E-4</v>
      </c>
      <c r="N31" s="255">
        <f t="shared" si="61"/>
        <v>3.7849345729597332E-5</v>
      </c>
      <c r="O31" s="255"/>
      <c r="P31" s="256">
        <f t="shared" ref="P31:P35" si="62">AVERAGE(K31:O31)</f>
        <v>1.6336546285989796E-4</v>
      </c>
      <c r="S31" s="252">
        <v>48</v>
      </c>
      <c r="T31" s="253">
        <f t="shared" ref="T31:W33" si="63">(T20/100)*$C$38*1000</f>
        <v>6.1715500009964654E-5</v>
      </c>
      <c r="U31" s="253">
        <f t="shared" si="63"/>
        <v>3.9273084238908101E-5</v>
      </c>
      <c r="V31" s="253">
        <f t="shared" si="63"/>
        <v>7.6734283050575506E-5</v>
      </c>
      <c r="W31" s="253">
        <f t="shared" si="63"/>
        <v>2.4196551447899077E-5</v>
      </c>
      <c r="X31" s="253"/>
      <c r="Y31" s="254">
        <f t="shared" ref="Y31:Y35" si="64">AVERAGE(T31:X31)</f>
        <v>5.047985468683683E-5</v>
      </c>
      <c r="AA31" s="252">
        <v>48</v>
      </c>
      <c r="AB31" s="255">
        <f t="shared" ref="AB31:AE33" si="65">(AB20/100)*$C$38*1000</f>
        <v>3.5924117895896109E-4</v>
      </c>
      <c r="AC31" s="255">
        <f t="shared" si="65"/>
        <v>2.7088246518774475E-5</v>
      </c>
      <c r="AD31" s="255">
        <f t="shared" si="65"/>
        <v>3.1002434254981604E-4</v>
      </c>
      <c r="AE31" s="255">
        <f t="shared" si="65"/>
        <v>1.7610116342564133E-4</v>
      </c>
      <c r="AF31" s="255"/>
      <c r="AG31" s="256">
        <f t="shared" ref="AG31:AG35" si="66">AVERAGE(AB31:AF31)</f>
        <v>2.1811373286329821E-4</v>
      </c>
      <c r="AJ31" s="252">
        <v>48</v>
      </c>
      <c r="AK31" s="253">
        <f t="shared" ref="AK31:AN33" si="67">(AK20/100)*$C$38*1000</f>
        <v>1.2071620980145551E-4</v>
      </c>
      <c r="AL31" s="253">
        <f t="shared" si="67"/>
        <v>1.1880217226068369E-5</v>
      </c>
      <c r="AM31" s="253">
        <f t="shared" si="67"/>
        <v>8.3259307119501989E-3</v>
      </c>
      <c r="AN31" s="253">
        <f t="shared" si="67"/>
        <v>1.1624429268046963E-4</v>
      </c>
      <c r="AO31" s="253"/>
      <c r="AP31" s="254">
        <f t="shared" ref="AP31:AP35" si="68">AVERAGE(AK31:AO31)</f>
        <v>2.143692857914548E-3</v>
      </c>
      <c r="AR31" s="252">
        <v>48</v>
      </c>
      <c r="AS31" s="255">
        <f t="shared" ref="AS31:AV33" si="69">(AS20/100)*$C$38*1000</f>
        <v>3.5144477469509292E-4</v>
      </c>
      <c r="AT31" s="255">
        <f t="shared" si="69"/>
        <v>4.0366391672162198E-5</v>
      </c>
      <c r="AU31" s="255">
        <f t="shared" si="69"/>
        <v>2.1937308926894787E-4</v>
      </c>
      <c r="AV31" s="255">
        <f t="shared" si="69"/>
        <v>8.3244324397051625E-5</v>
      </c>
      <c r="AW31" s="255"/>
      <c r="AX31" s="256">
        <f t="shared" ref="AX31:AX35" si="70">AVERAGE(AS31:AW31)</f>
        <v>1.7360714500831367E-4</v>
      </c>
      <c r="BA31" s="252">
        <v>48</v>
      </c>
      <c r="BB31" s="253">
        <f t="shared" ref="BB31:BE33" si="71">(BB20/100)*$C$38*1000</f>
        <v>2.9367249904975668E-4</v>
      </c>
      <c r="BC31" s="253">
        <f t="shared" si="71"/>
        <v>2.7309536577150938E-4</v>
      </c>
      <c r="BD31" s="253">
        <f t="shared" si="71"/>
        <v>2.5842551585730187E-4</v>
      </c>
      <c r="BE31" s="253">
        <f t="shared" si="71"/>
        <v>8.5332801731178315E-5</v>
      </c>
      <c r="BF31" s="253"/>
      <c r="BG31" s="254">
        <f t="shared" ref="BG31:BG35" si="72">AVERAGE(BB31:BF31)</f>
        <v>2.2763154560243658E-4</v>
      </c>
      <c r="BI31" s="252">
        <v>48</v>
      </c>
      <c r="BJ31" s="255">
        <f t="shared" ref="BJ31:BM33" si="73">(BJ20/100)*$C$38*1000</f>
        <v>6.0625205118352869E-3</v>
      </c>
      <c r="BK31" s="255">
        <f t="shared" si="73"/>
        <v>5.4168374542290865E-3</v>
      </c>
      <c r="BL31" s="255">
        <f t="shared" si="73"/>
        <v>1.8836157318974005E-3</v>
      </c>
      <c r="BM31" s="255">
        <f t="shared" si="73"/>
        <v>2.2000219726088339E-4</v>
      </c>
      <c r="BN31" s="255"/>
      <c r="BO31" s="256">
        <f t="shared" ref="BO31:BO35" si="74">AVERAGE(BJ31:BN31)</f>
        <v>3.3957439738056643E-3</v>
      </c>
      <c r="BR31" s="252">
        <v>48</v>
      </c>
      <c r="BS31" s="253">
        <f t="shared" ref="BS31:BV33" si="75">(BS20/100)*$C$38*1000</f>
        <v>9.6525359285914349E-3</v>
      </c>
      <c r="BT31" s="253">
        <f t="shared" si="75"/>
        <v>1.2768565546899123E-4</v>
      </c>
      <c r="BU31" s="253">
        <f t="shared" si="75"/>
        <v>8.505158183244627E-4</v>
      </c>
      <c r="BV31" s="253">
        <f t="shared" si="75"/>
        <v>2.0347236132101118E-4</v>
      </c>
      <c r="BW31" s="253"/>
      <c r="BX31" s="254">
        <f t="shared" ref="BX31:BX35" si="76">AVERAGE(BS31:BW31)</f>
        <v>2.7085524409264749E-3</v>
      </c>
      <c r="BZ31" s="252">
        <v>48</v>
      </c>
      <c r="CA31" s="255">
        <f t="shared" ref="CA31:CD33" si="77">(CA20/100)*$C$38*1000</f>
        <v>9.5511225670243528E-4</v>
      </c>
      <c r="CB31" s="255">
        <f t="shared" si="77"/>
        <v>3.7599227313637768E-4</v>
      </c>
      <c r="CC31" s="255">
        <f t="shared" si="77"/>
        <v>1.6773199030539953E-3</v>
      </c>
      <c r="CD31" s="255">
        <f t="shared" si="77"/>
        <v>1.9248995588545391E-4</v>
      </c>
      <c r="CE31" s="255"/>
      <c r="CF31" s="256">
        <f t="shared" ref="CF31:CF35" si="78">AVERAGE(CA31:CE31)</f>
        <v>8.0022859719456555E-4</v>
      </c>
      <c r="CI31" s="252">
        <v>48</v>
      </c>
      <c r="CJ31" s="253">
        <f t="shared" ref="CJ31:CM33" si="79">(CJ20/100)*$C$38*1000</f>
        <v>1.9767550347331891E-4</v>
      </c>
      <c r="CK31" s="253">
        <f t="shared" si="79"/>
        <v>3.3472603241566184E-5</v>
      </c>
      <c r="CL31" s="253">
        <f t="shared" si="79"/>
        <v>1.6086643976245563E-4</v>
      </c>
      <c r="CM31" s="253">
        <f t="shared" si="79"/>
        <v>1.0014041961753215E-4</v>
      </c>
      <c r="CN31" s="253"/>
      <c r="CO31" s="254">
        <f t="shared" ref="CO31:CO35" si="80">AVERAGE(CJ31:CN31)</f>
        <v>1.230387415237182E-4</v>
      </c>
      <c r="CQ31" s="252">
        <v>48</v>
      </c>
      <c r="CR31" s="255">
        <f t="shared" ref="CR31:CU33" si="81">(CR20/100)*$C$38*1000</f>
        <v>1.2832150513464105E-4</v>
      </c>
      <c r="CS31" s="255">
        <f t="shared" si="81"/>
        <v>5.3930342149020156E-5</v>
      </c>
      <c r="CT31" s="255">
        <f t="shared" si="81"/>
        <v>2.3033957253097308E-4</v>
      </c>
      <c r="CU31" s="255">
        <f t="shared" si="81"/>
        <v>8.4858152604124141E-5</v>
      </c>
      <c r="CV31" s="255"/>
      <c r="CW31" s="256">
        <f t="shared" ref="CW31:CW35" si="82">AVERAGE(CR31:CV31)</f>
        <v>1.243623931046896E-4</v>
      </c>
    </row>
    <row r="32" spans="2:102" x14ac:dyDescent="0.25">
      <c r="B32" s="252">
        <v>72</v>
      </c>
      <c r="C32" s="253">
        <f t="shared" si="59"/>
        <v>1.5887675532962007E-6</v>
      </c>
      <c r="D32" s="253">
        <f t="shared" si="59"/>
        <v>1.0092814504911981E-6</v>
      </c>
      <c r="E32" s="253"/>
      <c r="F32" s="253"/>
      <c r="G32" s="253"/>
      <c r="H32" s="254">
        <f t="shared" si="60"/>
        <v>1.2990245018936994E-6</v>
      </c>
      <c r="J32" s="252">
        <v>72</v>
      </c>
      <c r="K32" s="255">
        <f t="shared" si="61"/>
        <v>2.6002202851961236E-6</v>
      </c>
      <c r="L32" s="255">
        <f t="shared" si="61"/>
        <v>1.7068676763290695E-6</v>
      </c>
      <c r="M32" s="255"/>
      <c r="N32" s="255"/>
      <c r="O32" s="255"/>
      <c r="P32" s="256">
        <f t="shared" si="62"/>
        <v>2.1535439807625966E-6</v>
      </c>
      <c r="S32" s="252">
        <v>72</v>
      </c>
      <c r="T32" s="253">
        <f t="shared" si="63"/>
        <v>1.6548381416224716E-6</v>
      </c>
      <c r="U32" s="253">
        <f t="shared" si="63"/>
        <v>1.0062147640163147E-6</v>
      </c>
      <c r="V32" s="253"/>
      <c r="W32" s="253"/>
      <c r="X32" s="253"/>
      <c r="Y32" s="254">
        <f t="shared" si="64"/>
        <v>1.330526452819393E-6</v>
      </c>
      <c r="AA32" s="252">
        <v>72</v>
      </c>
      <c r="AB32" s="255">
        <f t="shared" si="65"/>
        <v>3.2104556148798755E-6</v>
      </c>
      <c r="AC32" s="255">
        <f t="shared" si="65"/>
        <v>2.4629247700758019E-6</v>
      </c>
      <c r="AD32" s="255"/>
      <c r="AE32" s="255"/>
      <c r="AF32" s="255"/>
      <c r="AG32" s="256">
        <f t="shared" si="66"/>
        <v>2.8366901924778387E-6</v>
      </c>
      <c r="AJ32" s="252">
        <v>72</v>
      </c>
      <c r="AK32" s="253">
        <f t="shared" si="67"/>
        <v>8.8400241134621846E-7</v>
      </c>
      <c r="AL32" s="253">
        <f t="shared" si="67"/>
        <v>5.8221278507974266E-7</v>
      </c>
      <c r="AM32" s="253"/>
      <c r="AN32" s="253"/>
      <c r="AO32" s="253"/>
      <c r="AP32" s="254">
        <f t="shared" si="68"/>
        <v>7.3310759821298056E-7</v>
      </c>
      <c r="AR32" s="252">
        <v>72</v>
      </c>
      <c r="AS32" s="255">
        <f t="shared" si="69"/>
        <v>7.0610943343517144E-6</v>
      </c>
      <c r="AT32" s="255">
        <f t="shared" si="69"/>
        <v>4.9469799665281867E-6</v>
      </c>
      <c r="AU32" s="255"/>
      <c r="AV32" s="255"/>
      <c r="AW32" s="255"/>
      <c r="AX32" s="256">
        <f t="shared" si="70"/>
        <v>6.0040371504399505E-6</v>
      </c>
      <c r="BA32" s="252">
        <v>72</v>
      </c>
      <c r="BB32" s="253">
        <f t="shared" si="71"/>
        <v>2.4231615607115674E-5</v>
      </c>
      <c r="BC32" s="253">
        <f t="shared" si="71"/>
        <v>9.3358739117947852E-6</v>
      </c>
      <c r="BD32" s="253"/>
      <c r="BE32" s="253"/>
      <c r="BF32" s="253"/>
      <c r="BG32" s="254">
        <f t="shared" si="72"/>
        <v>1.678374475945523E-5</v>
      </c>
      <c r="BI32" s="252">
        <v>72</v>
      </c>
      <c r="BJ32" s="255">
        <f t="shared" si="73"/>
        <v>1.1126170380364965E-3</v>
      </c>
      <c r="BK32" s="255">
        <f t="shared" si="73"/>
        <v>8.9378770710905927E-5</v>
      </c>
      <c r="BL32" s="255"/>
      <c r="BM32" s="255"/>
      <c r="BN32" s="255"/>
      <c r="BO32" s="256">
        <f t="shared" si="74"/>
        <v>6.0099790437370118E-4</v>
      </c>
      <c r="BR32" s="252">
        <v>72</v>
      </c>
      <c r="BS32" s="253">
        <f t="shared" si="75"/>
        <v>1.5830156706515856E-3</v>
      </c>
      <c r="BT32" s="253">
        <f t="shared" si="75"/>
        <v>9.7071918745897356E-6</v>
      </c>
      <c r="BU32" s="253"/>
      <c r="BV32" s="253"/>
      <c r="BW32" s="253"/>
      <c r="BX32" s="254">
        <f t="shared" si="76"/>
        <v>7.9636143126308762E-4</v>
      </c>
      <c r="BZ32" s="252">
        <v>72</v>
      </c>
      <c r="CA32" s="255">
        <f t="shared" si="77"/>
        <v>1.8293205470430932E-4</v>
      </c>
      <c r="CB32" s="255">
        <f t="shared" si="77"/>
        <v>5.4938046902044594E-5</v>
      </c>
      <c r="CC32" s="255"/>
      <c r="CD32" s="255"/>
      <c r="CE32" s="255"/>
      <c r="CF32" s="256">
        <f t="shared" si="78"/>
        <v>1.1893505080317696E-4</v>
      </c>
      <c r="CI32" s="252">
        <v>72</v>
      </c>
      <c r="CJ32" s="253">
        <f t="shared" si="79"/>
        <v>5.0327983639172219E-6</v>
      </c>
      <c r="CK32" s="253">
        <f t="shared" si="79"/>
        <v>1.5386475064967166E-6</v>
      </c>
      <c r="CL32" s="253"/>
      <c r="CM32" s="253"/>
      <c r="CN32" s="253"/>
      <c r="CO32" s="254">
        <f t="shared" si="80"/>
        <v>3.2857229352069691E-6</v>
      </c>
      <c r="CQ32" s="252">
        <v>72</v>
      </c>
      <c r="CR32" s="255">
        <f t="shared" si="81"/>
        <v>3.1126312373408594E-6</v>
      </c>
      <c r="CS32" s="255">
        <f t="shared" si="81"/>
        <v>2.015256203705343E-6</v>
      </c>
      <c r="CT32" s="255"/>
      <c r="CU32" s="255"/>
      <c r="CV32" s="255"/>
      <c r="CW32" s="256">
        <f t="shared" si="82"/>
        <v>2.5639437205231012E-6</v>
      </c>
    </row>
    <row r="33" spans="2:102" x14ac:dyDescent="0.25">
      <c r="B33" s="252">
        <v>216</v>
      </c>
      <c r="C33" s="253">
        <f t="shared" si="59"/>
        <v>3.8262090233304796E-11</v>
      </c>
      <c r="D33" s="253">
        <f t="shared" si="59"/>
        <v>9.1641131703460291E-12</v>
      </c>
      <c r="E33" s="253">
        <f t="shared" si="59"/>
        <v>5.882093062514093E-12</v>
      </c>
      <c r="F33" s="253">
        <f t="shared" si="59"/>
        <v>3.4273338017691041E-12</v>
      </c>
      <c r="G33" s="253"/>
      <c r="H33" s="254">
        <f t="shared" si="60"/>
        <v>1.4183907566983506E-11</v>
      </c>
      <c r="J33" s="252">
        <v>216</v>
      </c>
      <c r="K33" s="255">
        <f t="shared" si="61"/>
        <v>7.3036570250530969E-11</v>
      </c>
      <c r="L33" s="255">
        <f t="shared" si="61"/>
        <v>2.8819761523404579E-11</v>
      </c>
      <c r="M33" s="255">
        <f t="shared" si="61"/>
        <v>1.1820987056059055E-11</v>
      </c>
      <c r="N33" s="255">
        <f t="shared" si="61"/>
        <v>8.4397176673725851E-12</v>
      </c>
      <c r="O33" s="255"/>
      <c r="P33" s="256">
        <f t="shared" si="62"/>
        <v>3.0529259124341792E-11</v>
      </c>
      <c r="S33" s="252">
        <v>216</v>
      </c>
      <c r="T33" s="253">
        <f t="shared" si="63"/>
        <v>7.9099652642487509E-12</v>
      </c>
      <c r="U33" s="253">
        <f t="shared" si="63"/>
        <v>1.0806707412297231E-11</v>
      </c>
      <c r="V33" s="253">
        <f t="shared" si="63"/>
        <v>6.0071485765820684E-12</v>
      </c>
      <c r="W33" s="253">
        <f t="shared" si="63"/>
        <v>3.3586583772286774E-12</v>
      </c>
      <c r="X33" s="253"/>
      <c r="Y33" s="254">
        <f t="shared" si="64"/>
        <v>7.0206199075891814E-12</v>
      </c>
      <c r="AA33" s="252">
        <v>216</v>
      </c>
      <c r="AB33" s="255">
        <f t="shared" si="65"/>
        <v>1.6784178555944285E-10</v>
      </c>
      <c r="AC33" s="255">
        <f t="shared" si="65"/>
        <v>1.2242777010522571E-11</v>
      </c>
      <c r="AD33" s="255">
        <f t="shared" si="65"/>
        <v>8.6751740210619736E-12</v>
      </c>
      <c r="AE33" s="255">
        <f t="shared" si="65"/>
        <v>4.210496199039231E-12</v>
      </c>
      <c r="AF33" s="255"/>
      <c r="AG33" s="256">
        <f t="shared" si="66"/>
        <v>4.8242558197516652E-11</v>
      </c>
      <c r="AJ33" s="252">
        <v>216</v>
      </c>
      <c r="AK33" s="253">
        <f t="shared" si="67"/>
        <v>3.9279643481808408E-10</v>
      </c>
      <c r="AL33" s="253">
        <f t="shared" si="67"/>
        <v>5.4728558349022791E-12</v>
      </c>
      <c r="AM33" s="253">
        <f t="shared" si="67"/>
        <v>4.5399482102113254E-12</v>
      </c>
      <c r="AN33" s="253">
        <f t="shared" si="67"/>
        <v>1.9524919856114625E-12</v>
      </c>
      <c r="AO33" s="253"/>
      <c r="AP33" s="254">
        <f t="shared" si="68"/>
        <v>1.0119043271220228E-10</v>
      </c>
      <c r="AR33" s="252">
        <v>216</v>
      </c>
      <c r="AS33" s="255">
        <f t="shared" si="69"/>
        <v>3.0457125474260035E-11</v>
      </c>
      <c r="AT33" s="255">
        <f t="shared" si="69"/>
        <v>6.4582512675302278E-11</v>
      </c>
      <c r="AU33" s="255">
        <f t="shared" si="69"/>
        <v>1.2913628124892614E-11</v>
      </c>
      <c r="AV33" s="255">
        <f t="shared" si="69"/>
        <v>2.2409925350016405E-10</v>
      </c>
      <c r="AW33" s="255"/>
      <c r="AX33" s="256">
        <f t="shared" si="70"/>
        <v>8.3013129943654748E-11</v>
      </c>
      <c r="BA33" s="252">
        <v>216</v>
      </c>
      <c r="BB33" s="253">
        <f t="shared" si="71"/>
        <v>4.3153262584903925E-11</v>
      </c>
      <c r="BC33" s="253">
        <f t="shared" si="71"/>
        <v>6.9899682521341305E-11</v>
      </c>
      <c r="BD33" s="253">
        <f t="shared" si="71"/>
        <v>2.5394702518880229E-11</v>
      </c>
      <c r="BE33" s="253">
        <f t="shared" si="71"/>
        <v>3.10897534607063E-11</v>
      </c>
      <c r="BF33" s="253"/>
      <c r="BG33" s="254">
        <f t="shared" si="72"/>
        <v>4.238435027145794E-11</v>
      </c>
      <c r="BI33" s="252">
        <v>216</v>
      </c>
      <c r="BJ33" s="255">
        <f t="shared" si="73"/>
        <v>1.0681567753181953E-10</v>
      </c>
      <c r="BK33" s="255">
        <f t="shared" si="73"/>
        <v>6.6747065668105146E-9</v>
      </c>
      <c r="BL33" s="255">
        <f t="shared" si="73"/>
        <v>8.0299317262086461E-11</v>
      </c>
      <c r="BM33" s="255">
        <f t="shared" si="73"/>
        <v>3.8643443485408233E-9</v>
      </c>
      <c r="BN33" s="255"/>
      <c r="BO33" s="256">
        <f t="shared" si="74"/>
        <v>2.681541477536311E-9</v>
      </c>
      <c r="BR33" s="252">
        <v>216</v>
      </c>
      <c r="BS33" s="253">
        <f t="shared" si="75"/>
        <v>3.3062112709157899E-11</v>
      </c>
      <c r="BT33" s="253">
        <f t="shared" si="75"/>
        <v>4.1289214553732913E-10</v>
      </c>
      <c r="BU33" s="253">
        <f t="shared" si="75"/>
        <v>2.3918867797981879E-11</v>
      </c>
      <c r="BV33" s="253">
        <f t="shared" si="75"/>
        <v>9.3590768138171002E-9</v>
      </c>
      <c r="BW33" s="253"/>
      <c r="BX33" s="254">
        <f t="shared" si="76"/>
        <v>2.4572374849653924E-9</v>
      </c>
      <c r="BZ33" s="252">
        <v>216</v>
      </c>
      <c r="CA33" s="255">
        <f t="shared" si="77"/>
        <v>9.7949845586663338E-11</v>
      </c>
      <c r="CB33" s="255">
        <f t="shared" si="77"/>
        <v>1.7042051813576192E-9</v>
      </c>
      <c r="CC33" s="255">
        <f t="shared" si="77"/>
        <v>2.5202554866367001E-10</v>
      </c>
      <c r="CD33" s="255">
        <f t="shared" si="77"/>
        <v>6.2843129956201104E-10</v>
      </c>
      <c r="CE33" s="255"/>
      <c r="CF33" s="256">
        <f t="shared" si="78"/>
        <v>6.7065296879249079E-10</v>
      </c>
      <c r="CI33" s="252">
        <v>216</v>
      </c>
      <c r="CJ33" s="253">
        <f t="shared" si="79"/>
        <v>1.5985266347345827E-11</v>
      </c>
      <c r="CK33" s="253">
        <f t="shared" si="79"/>
        <v>5.2482868099447935E-11</v>
      </c>
      <c r="CL33" s="253">
        <f t="shared" si="79"/>
        <v>5.689093773534964E-11</v>
      </c>
      <c r="CM33" s="253">
        <f t="shared" si="79"/>
        <v>2.9229381578892704E-10</v>
      </c>
      <c r="CN33" s="253"/>
      <c r="CO33" s="254">
        <f t="shared" si="80"/>
        <v>1.0441322199276761E-10</v>
      </c>
      <c r="CQ33" s="252">
        <v>216</v>
      </c>
      <c r="CR33" s="255">
        <f t="shared" si="81"/>
        <v>1.1578931185805337E-11</v>
      </c>
      <c r="CS33" s="255">
        <f t="shared" si="81"/>
        <v>1.602284998140057E-11</v>
      </c>
      <c r="CT33" s="255">
        <f t="shared" si="81"/>
        <v>2.0378765417539072E-11</v>
      </c>
      <c r="CU33" s="255">
        <f t="shared" si="81"/>
        <v>7.0906325785111361E-12</v>
      </c>
      <c r="CV33" s="255"/>
      <c r="CW33" s="256">
        <f t="shared" si="82"/>
        <v>1.3767794790814028E-11</v>
      </c>
    </row>
    <row r="34" spans="2:102" x14ac:dyDescent="0.25">
      <c r="B34" s="252"/>
      <c r="C34" s="253"/>
      <c r="D34" s="253"/>
      <c r="E34" s="253"/>
      <c r="F34" s="253"/>
      <c r="G34" s="253"/>
      <c r="H34" s="254" t="e">
        <f t="shared" si="60"/>
        <v>#DIV/0!</v>
      </c>
      <c r="J34" s="252"/>
      <c r="K34" s="255"/>
      <c r="L34" s="255"/>
      <c r="M34" s="255"/>
      <c r="N34" s="255"/>
      <c r="O34" s="255"/>
      <c r="P34" s="256" t="e">
        <f t="shared" si="62"/>
        <v>#DIV/0!</v>
      </c>
      <c r="S34" s="252"/>
      <c r="T34" s="253"/>
      <c r="U34" s="253"/>
      <c r="V34" s="253"/>
      <c r="W34" s="253"/>
      <c r="X34" s="253"/>
      <c r="Y34" s="254" t="e">
        <f t="shared" si="64"/>
        <v>#DIV/0!</v>
      </c>
      <c r="AA34" s="252"/>
      <c r="AB34" s="255"/>
      <c r="AC34" s="255"/>
      <c r="AD34" s="255"/>
      <c r="AE34" s="255"/>
      <c r="AF34" s="255"/>
      <c r="AG34" s="256" t="e">
        <f t="shared" si="66"/>
        <v>#DIV/0!</v>
      </c>
      <c r="AJ34" s="252"/>
      <c r="AK34" s="253"/>
      <c r="AL34" s="253"/>
      <c r="AM34" s="253"/>
      <c r="AN34" s="253"/>
      <c r="AO34" s="253"/>
      <c r="AP34" s="254" t="e">
        <f t="shared" si="68"/>
        <v>#DIV/0!</v>
      </c>
      <c r="AR34" s="252"/>
      <c r="AS34" s="255"/>
      <c r="AT34" s="255"/>
      <c r="AU34" s="255"/>
      <c r="AV34" s="255"/>
      <c r="AW34" s="255"/>
      <c r="AX34" s="256" t="e">
        <f t="shared" si="70"/>
        <v>#DIV/0!</v>
      </c>
      <c r="BA34" s="252"/>
      <c r="BB34" s="253"/>
      <c r="BC34" s="253"/>
      <c r="BD34" s="253"/>
      <c r="BE34" s="253"/>
      <c r="BF34" s="253"/>
      <c r="BG34" s="254" t="e">
        <f t="shared" si="72"/>
        <v>#DIV/0!</v>
      </c>
      <c r="BI34" s="252"/>
      <c r="BJ34" s="255"/>
      <c r="BK34" s="255"/>
      <c r="BL34" s="255"/>
      <c r="BM34" s="255"/>
      <c r="BN34" s="255"/>
      <c r="BO34" s="256" t="e">
        <f t="shared" si="74"/>
        <v>#DIV/0!</v>
      </c>
      <c r="BR34" s="252"/>
      <c r="BS34" s="253"/>
      <c r="BT34" s="253"/>
      <c r="BU34" s="253"/>
      <c r="BV34" s="253"/>
      <c r="BW34" s="253"/>
      <c r="BX34" s="254" t="e">
        <f t="shared" si="76"/>
        <v>#DIV/0!</v>
      </c>
      <c r="BZ34" s="252"/>
      <c r="CA34" s="255"/>
      <c r="CB34" s="255"/>
      <c r="CC34" s="255"/>
      <c r="CD34" s="255"/>
      <c r="CE34" s="255"/>
      <c r="CF34" s="256" t="e">
        <f t="shared" si="78"/>
        <v>#DIV/0!</v>
      </c>
      <c r="CI34" s="252"/>
      <c r="CJ34" s="253"/>
      <c r="CK34" s="253"/>
      <c r="CL34" s="253"/>
      <c r="CM34" s="253"/>
      <c r="CN34" s="253"/>
      <c r="CO34" s="254" t="e">
        <f t="shared" si="80"/>
        <v>#DIV/0!</v>
      </c>
      <c r="CQ34" s="252"/>
      <c r="CR34" s="255"/>
      <c r="CS34" s="255"/>
      <c r="CT34" s="255"/>
      <c r="CU34" s="255"/>
      <c r="CV34" s="255"/>
      <c r="CW34" s="256" t="e">
        <f t="shared" si="82"/>
        <v>#DIV/0!</v>
      </c>
    </row>
    <row r="35" spans="2:102" x14ac:dyDescent="0.25">
      <c r="B35" s="252"/>
      <c r="C35" s="253"/>
      <c r="D35" s="253"/>
      <c r="E35" s="253"/>
      <c r="F35" s="253"/>
      <c r="G35" s="253"/>
      <c r="H35" s="254" t="e">
        <f t="shared" si="60"/>
        <v>#DIV/0!</v>
      </c>
      <c r="J35" s="252"/>
      <c r="K35" s="255"/>
      <c r="L35" s="255"/>
      <c r="M35" s="255"/>
      <c r="N35" s="255"/>
      <c r="O35" s="255"/>
      <c r="P35" s="256" t="e">
        <f t="shared" si="62"/>
        <v>#DIV/0!</v>
      </c>
      <c r="S35" s="252"/>
      <c r="T35" s="253"/>
      <c r="U35" s="253"/>
      <c r="V35" s="253"/>
      <c r="W35" s="253"/>
      <c r="X35" s="253"/>
      <c r="Y35" s="254" t="e">
        <f t="shared" si="64"/>
        <v>#DIV/0!</v>
      </c>
      <c r="AA35" s="252"/>
      <c r="AB35" s="255"/>
      <c r="AC35" s="255"/>
      <c r="AD35" s="255"/>
      <c r="AE35" s="255"/>
      <c r="AF35" s="255"/>
      <c r="AG35" s="256" t="e">
        <f t="shared" si="66"/>
        <v>#DIV/0!</v>
      </c>
      <c r="AJ35" s="252"/>
      <c r="AK35" s="253"/>
      <c r="AL35" s="253"/>
      <c r="AM35" s="253"/>
      <c r="AN35" s="253"/>
      <c r="AO35" s="253"/>
      <c r="AP35" s="254" t="e">
        <f t="shared" si="68"/>
        <v>#DIV/0!</v>
      </c>
      <c r="AR35" s="252"/>
      <c r="AS35" s="255"/>
      <c r="AT35" s="255"/>
      <c r="AU35" s="255"/>
      <c r="AV35" s="255"/>
      <c r="AW35" s="255"/>
      <c r="AX35" s="256" t="e">
        <f t="shared" si="70"/>
        <v>#DIV/0!</v>
      </c>
      <c r="BA35" s="252"/>
      <c r="BB35" s="253"/>
      <c r="BC35" s="253"/>
      <c r="BD35" s="253"/>
      <c r="BE35" s="253"/>
      <c r="BF35" s="253"/>
      <c r="BG35" s="254" t="e">
        <f t="shared" si="72"/>
        <v>#DIV/0!</v>
      </c>
      <c r="BI35" s="252"/>
      <c r="BJ35" s="255"/>
      <c r="BK35" s="255"/>
      <c r="BL35" s="255"/>
      <c r="BM35" s="255"/>
      <c r="BN35" s="255"/>
      <c r="BO35" s="256" t="e">
        <f t="shared" si="74"/>
        <v>#DIV/0!</v>
      </c>
      <c r="BR35" s="252"/>
      <c r="BS35" s="253"/>
      <c r="BT35" s="253"/>
      <c r="BU35" s="253"/>
      <c r="BV35" s="253"/>
      <c r="BW35" s="253"/>
      <c r="BX35" s="254" t="e">
        <f t="shared" si="76"/>
        <v>#DIV/0!</v>
      </c>
      <c r="BZ35" s="252"/>
      <c r="CA35" s="255"/>
      <c r="CB35" s="255"/>
      <c r="CC35" s="255"/>
      <c r="CD35" s="255"/>
      <c r="CE35" s="255"/>
      <c r="CF35" s="256" t="e">
        <f t="shared" si="78"/>
        <v>#DIV/0!</v>
      </c>
      <c r="CI35" s="252"/>
      <c r="CJ35" s="253"/>
      <c r="CK35" s="253"/>
      <c r="CL35" s="253"/>
      <c r="CM35" s="253"/>
      <c r="CN35" s="253"/>
      <c r="CO35" s="254" t="e">
        <f t="shared" si="80"/>
        <v>#DIV/0!</v>
      </c>
      <c r="CQ35" s="252"/>
      <c r="CR35" s="255"/>
      <c r="CS35" s="255"/>
      <c r="CT35" s="255"/>
      <c r="CU35" s="255"/>
      <c r="CV35" s="255"/>
      <c r="CW35" s="256" t="e">
        <f t="shared" si="82"/>
        <v>#DIV/0!</v>
      </c>
    </row>
    <row r="37" spans="2:102" ht="21.75" thickBot="1" x14ac:dyDescent="0.35">
      <c r="B37" s="246" t="s">
        <v>71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7"/>
      <c r="S37" s="246" t="s">
        <v>71</v>
      </c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7"/>
      <c r="AJ37" s="246" t="s">
        <v>71</v>
      </c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7"/>
      <c r="BA37" s="246" t="s">
        <v>71</v>
      </c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7"/>
      <c r="BR37" s="246" t="s">
        <v>71</v>
      </c>
      <c r="BS37" s="246"/>
      <c r="BT37" s="246"/>
      <c r="BU37" s="246"/>
      <c r="BV37" s="246"/>
      <c r="BW37" s="246"/>
      <c r="BX37" s="246"/>
      <c r="BY37" s="246"/>
      <c r="BZ37" s="246"/>
      <c r="CA37" s="246"/>
      <c r="CB37" s="246"/>
      <c r="CC37" s="246"/>
      <c r="CD37" s="246"/>
      <c r="CE37" s="246"/>
      <c r="CF37" s="246"/>
      <c r="CG37" s="247"/>
      <c r="CI37" s="246" t="s">
        <v>71</v>
      </c>
      <c r="CJ37" s="246"/>
      <c r="CK37" s="246"/>
      <c r="CL37" s="246"/>
      <c r="CM37" s="246"/>
      <c r="CN37" s="246"/>
      <c r="CO37" s="246"/>
      <c r="CP37" s="246"/>
      <c r="CQ37" s="246"/>
      <c r="CR37" s="246"/>
      <c r="CS37" s="246"/>
      <c r="CT37" s="246"/>
      <c r="CU37" s="246"/>
      <c r="CV37" s="246"/>
      <c r="CW37" s="246"/>
      <c r="CX37" s="247"/>
    </row>
    <row r="38" spans="2:102" ht="18.75" x14ac:dyDescent="0.3">
      <c r="B38" s="261" t="s">
        <v>72</v>
      </c>
      <c r="C38" s="262">
        <f>'[1]MIRD Decay Schema'!$E$24</f>
        <v>0.40873499999999996</v>
      </c>
      <c r="D38" s="248"/>
      <c r="E38" s="263"/>
      <c r="F38" s="30" t="s">
        <v>73</v>
      </c>
      <c r="G38" s="248"/>
      <c r="H38" s="248"/>
      <c r="I38" s="248"/>
      <c r="J38" s="261" t="s">
        <v>72</v>
      </c>
      <c r="K38" s="262">
        <f>'[1]MIRD Decay Schema'!$E$24</f>
        <v>0.40873499999999996</v>
      </c>
      <c r="L38" s="248"/>
      <c r="M38" s="263"/>
      <c r="N38" s="30" t="s">
        <v>73</v>
      </c>
      <c r="O38" s="248"/>
      <c r="P38" s="248"/>
      <c r="S38" s="261" t="s">
        <v>72</v>
      </c>
      <c r="T38" s="262">
        <f>'[1]MIRD Decay Schema'!$E$24</f>
        <v>0.40873499999999996</v>
      </c>
      <c r="U38" s="248"/>
      <c r="V38" s="263"/>
      <c r="W38" s="30" t="s">
        <v>73</v>
      </c>
      <c r="X38" s="248"/>
      <c r="Y38" s="248"/>
      <c r="Z38" s="248"/>
      <c r="AA38" s="261" t="s">
        <v>72</v>
      </c>
      <c r="AB38" s="262">
        <f>'[1]MIRD Decay Schema'!$E$24</f>
        <v>0.40873499999999996</v>
      </c>
      <c r="AC38" s="248"/>
      <c r="AD38" s="263"/>
      <c r="AE38" s="30" t="s">
        <v>73</v>
      </c>
      <c r="AF38" s="248"/>
      <c r="AG38" s="248"/>
      <c r="AJ38" s="261" t="s">
        <v>72</v>
      </c>
      <c r="AK38" s="262">
        <f>'[1]MIRD Decay Schema'!$E$24</f>
        <v>0.40873499999999996</v>
      </c>
      <c r="AL38" s="248"/>
      <c r="AM38" s="263"/>
      <c r="AN38" s="30" t="s">
        <v>73</v>
      </c>
      <c r="AO38" s="248"/>
      <c r="AP38" s="248"/>
      <c r="AQ38" s="248"/>
      <c r="AR38" s="261" t="s">
        <v>72</v>
      </c>
      <c r="AS38" s="262">
        <f>'[1]MIRD Decay Schema'!$E$24</f>
        <v>0.40873499999999996</v>
      </c>
      <c r="AT38" s="248"/>
      <c r="AU38" s="263"/>
      <c r="AV38" s="30" t="s">
        <v>73</v>
      </c>
      <c r="AW38" s="248"/>
      <c r="AX38" s="248"/>
      <c r="BA38" s="261" t="s">
        <v>72</v>
      </c>
      <c r="BB38" s="262">
        <f>'[1]MIRD Decay Schema'!$E$24</f>
        <v>0.40873499999999996</v>
      </c>
      <c r="BC38" s="248"/>
      <c r="BD38" s="263"/>
      <c r="BE38" s="30" t="s">
        <v>73</v>
      </c>
      <c r="BF38" s="248"/>
      <c r="BG38" s="248"/>
      <c r="BH38" s="248"/>
      <c r="BI38" s="261" t="s">
        <v>72</v>
      </c>
      <c r="BJ38" s="262">
        <f>'[1]MIRD Decay Schema'!$E$24</f>
        <v>0.40873499999999996</v>
      </c>
      <c r="BK38" s="248"/>
      <c r="BL38" s="263"/>
      <c r="BM38" s="30" t="s">
        <v>73</v>
      </c>
      <c r="BN38" s="248"/>
      <c r="BO38" s="248"/>
      <c r="BR38" s="261" t="s">
        <v>72</v>
      </c>
      <c r="BS38" s="262">
        <f>'[1]MIRD Decay Schema'!$E$24</f>
        <v>0.40873499999999996</v>
      </c>
      <c r="BT38" s="248"/>
      <c r="BU38" s="263"/>
      <c r="BV38" s="30" t="s">
        <v>73</v>
      </c>
      <c r="BW38" s="248"/>
      <c r="BX38" s="248"/>
      <c r="BY38" s="248"/>
      <c r="BZ38" s="261" t="s">
        <v>72</v>
      </c>
      <c r="CA38" s="262">
        <f>'[1]MIRD Decay Schema'!$E$24</f>
        <v>0.40873499999999996</v>
      </c>
      <c r="CB38" s="248"/>
      <c r="CC38" s="263"/>
      <c r="CD38" s="30" t="s">
        <v>73</v>
      </c>
      <c r="CE38" s="248"/>
      <c r="CF38" s="248"/>
      <c r="CI38" s="261" t="s">
        <v>72</v>
      </c>
      <c r="CJ38" s="262">
        <f>'[1]MIRD Decay Schema'!$E$24</f>
        <v>0.40873499999999996</v>
      </c>
      <c r="CK38" s="248"/>
      <c r="CL38" s="263"/>
      <c r="CM38" s="30" t="s">
        <v>73</v>
      </c>
      <c r="CN38" s="248"/>
      <c r="CO38" s="248"/>
      <c r="CP38" s="248"/>
      <c r="CQ38" s="261" t="s">
        <v>72</v>
      </c>
      <c r="CR38" s="262">
        <f>'[1]MIRD Decay Schema'!$E$24</f>
        <v>0.40873499999999996</v>
      </c>
      <c r="CS38" s="248"/>
      <c r="CT38" s="263"/>
      <c r="CU38" s="30" t="s">
        <v>73</v>
      </c>
      <c r="CV38" s="248"/>
      <c r="CW38" s="248"/>
    </row>
    <row r="39" spans="2:102" ht="7.5" customHeight="1" x14ac:dyDescent="0.3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  <c r="CD39" s="248"/>
      <c r="CE39" s="248"/>
      <c r="CF39" s="248"/>
      <c r="CI39" s="248"/>
      <c r="CJ39" s="248"/>
      <c r="CK39" s="248"/>
      <c r="CL39" s="248"/>
      <c r="CM39" s="248"/>
      <c r="CN39" s="248"/>
      <c r="CO39" s="248"/>
      <c r="CP39" s="248"/>
      <c r="CQ39" s="248"/>
      <c r="CR39" s="248"/>
      <c r="CS39" s="248"/>
      <c r="CT39" s="248"/>
      <c r="CU39" s="248"/>
      <c r="CV39" s="248"/>
      <c r="CW39" s="248"/>
    </row>
    <row r="40" spans="2:102" ht="30" x14ac:dyDescent="0.25">
      <c r="B40" s="264"/>
      <c r="C40" s="4"/>
      <c r="D40" s="250"/>
      <c r="E40" s="249" t="s">
        <v>62</v>
      </c>
      <c r="F40" s="265" t="s">
        <v>74</v>
      </c>
      <c r="G40" s="266" t="s">
        <v>75</v>
      </c>
      <c r="H40" s="267" t="s">
        <v>76</v>
      </c>
      <c r="I40" s="261"/>
      <c r="J40" s="264"/>
      <c r="K40" s="4"/>
      <c r="L40" s="250"/>
      <c r="M40" s="249" t="s">
        <v>62</v>
      </c>
      <c r="N40" s="265" t="s">
        <v>74</v>
      </c>
      <c r="O40" s="266" t="s">
        <v>75</v>
      </c>
      <c r="P40" s="267" t="s">
        <v>76</v>
      </c>
      <c r="S40" s="264"/>
      <c r="T40" s="4"/>
      <c r="U40" s="250"/>
      <c r="V40" s="249" t="s">
        <v>62</v>
      </c>
      <c r="W40" s="265" t="s">
        <v>74</v>
      </c>
      <c r="X40" s="266" t="s">
        <v>75</v>
      </c>
      <c r="Y40" s="267" t="s">
        <v>76</v>
      </c>
      <c r="Z40" s="261"/>
      <c r="AA40" s="264"/>
      <c r="AB40" s="4"/>
      <c r="AC40" s="250"/>
      <c r="AD40" s="249" t="s">
        <v>62</v>
      </c>
      <c r="AE40" s="265" t="s">
        <v>74</v>
      </c>
      <c r="AF40" s="266" t="s">
        <v>75</v>
      </c>
      <c r="AG40" s="267" t="s">
        <v>76</v>
      </c>
      <c r="AJ40" s="264"/>
      <c r="AK40" s="4"/>
      <c r="AL40" s="250"/>
      <c r="AM40" s="249" t="s">
        <v>62</v>
      </c>
      <c r="AN40" s="265" t="s">
        <v>74</v>
      </c>
      <c r="AO40" s="266" t="s">
        <v>75</v>
      </c>
      <c r="AP40" s="267" t="s">
        <v>76</v>
      </c>
      <c r="AQ40" s="261"/>
      <c r="AR40" s="264"/>
      <c r="AS40" s="4"/>
      <c r="AT40" s="250"/>
      <c r="AU40" s="249" t="s">
        <v>62</v>
      </c>
      <c r="AV40" s="265" t="s">
        <v>74</v>
      </c>
      <c r="AW40" s="266" t="s">
        <v>75</v>
      </c>
      <c r="AX40" s="267" t="s">
        <v>76</v>
      </c>
      <c r="BA40" s="264"/>
      <c r="BB40" s="4"/>
      <c r="BC40" s="250"/>
      <c r="BD40" s="249" t="s">
        <v>62</v>
      </c>
      <c r="BE40" s="265" t="s">
        <v>74</v>
      </c>
      <c r="BF40" s="266" t="s">
        <v>75</v>
      </c>
      <c r="BG40" s="267" t="s">
        <v>76</v>
      </c>
      <c r="BH40" s="261"/>
      <c r="BI40" s="264"/>
      <c r="BJ40" s="4"/>
      <c r="BK40" s="250"/>
      <c r="BL40" s="249" t="s">
        <v>62</v>
      </c>
      <c r="BM40" s="265" t="s">
        <v>74</v>
      </c>
      <c r="BN40" s="266" t="s">
        <v>75</v>
      </c>
      <c r="BO40" s="267" t="s">
        <v>76</v>
      </c>
      <c r="BR40" s="264"/>
      <c r="BS40" s="4"/>
      <c r="BT40" s="250"/>
      <c r="BU40" s="249" t="s">
        <v>62</v>
      </c>
      <c r="BV40" s="265" t="s">
        <v>74</v>
      </c>
      <c r="BW40" s="266" t="s">
        <v>75</v>
      </c>
      <c r="BX40" s="267" t="s">
        <v>76</v>
      </c>
      <c r="BY40" s="261"/>
      <c r="BZ40" s="264"/>
      <c r="CA40" s="4"/>
      <c r="CB40" s="250"/>
      <c r="CC40" s="249" t="s">
        <v>62</v>
      </c>
      <c r="CD40" s="265" t="s">
        <v>74</v>
      </c>
      <c r="CE40" s="266" t="s">
        <v>75</v>
      </c>
      <c r="CF40" s="267" t="s">
        <v>76</v>
      </c>
      <c r="CI40" s="264"/>
      <c r="CJ40" s="4"/>
      <c r="CK40" s="250"/>
      <c r="CL40" s="249" t="s">
        <v>62</v>
      </c>
      <c r="CM40" s="265" t="s">
        <v>74</v>
      </c>
      <c r="CN40" s="266" t="s">
        <v>75</v>
      </c>
      <c r="CO40" s="267" t="s">
        <v>76</v>
      </c>
      <c r="CP40" s="261"/>
      <c r="CQ40" s="264"/>
      <c r="CR40" s="4"/>
      <c r="CS40" s="250"/>
      <c r="CT40" s="249" t="s">
        <v>62</v>
      </c>
      <c r="CU40" s="265" t="s">
        <v>74</v>
      </c>
      <c r="CV40" s="266" t="s">
        <v>75</v>
      </c>
      <c r="CW40" s="267" t="s">
        <v>76</v>
      </c>
    </row>
    <row r="41" spans="2:102" x14ac:dyDescent="0.25">
      <c r="B41" s="258"/>
      <c r="C41" s="258"/>
      <c r="D41" s="258"/>
      <c r="E41" s="257">
        <v>0</v>
      </c>
      <c r="F41" s="268">
        <f>AVERAGE(B41:E41)</f>
        <v>0</v>
      </c>
      <c r="G41" s="269">
        <f>F41*1000</f>
        <v>0</v>
      </c>
      <c r="H41" s="270">
        <f t="shared" ref="H41:H44" si="83">F41*1000*0.01</f>
        <v>0</v>
      </c>
      <c r="I41" s="268"/>
      <c r="J41" s="258"/>
      <c r="K41" s="258"/>
      <c r="L41" s="258"/>
      <c r="M41" s="257">
        <v>0</v>
      </c>
      <c r="N41" s="271">
        <f>AVERAGE(J41:M41)</f>
        <v>0</v>
      </c>
      <c r="O41" s="272">
        <f>N41*1000</f>
        <v>0</v>
      </c>
      <c r="P41" s="273">
        <f t="shared" ref="P41:P45" si="84">N41*1000*0.01</f>
        <v>0</v>
      </c>
      <c r="S41" s="258"/>
      <c r="T41" s="258"/>
      <c r="U41" s="258"/>
      <c r="V41" s="257">
        <v>0</v>
      </c>
      <c r="W41" s="268">
        <f>AVERAGE(S41:V41)</f>
        <v>0</v>
      </c>
      <c r="X41" s="269">
        <f>W41*1000</f>
        <v>0</v>
      </c>
      <c r="Y41" s="270">
        <f t="shared" ref="Y41:Y44" si="85">W41*1000*0.01</f>
        <v>0</v>
      </c>
      <c r="Z41" s="268"/>
      <c r="AA41" s="258"/>
      <c r="AB41" s="258"/>
      <c r="AC41" s="258"/>
      <c r="AD41" s="257">
        <v>0</v>
      </c>
      <c r="AE41" s="271">
        <f>AVERAGE(AA41:AD41)</f>
        <v>0</v>
      </c>
      <c r="AF41" s="272">
        <f>AE41*1000</f>
        <v>0</v>
      </c>
      <c r="AG41" s="273">
        <f t="shared" ref="AG41:AG45" si="86">AE41*1000*0.01</f>
        <v>0</v>
      </c>
      <c r="AJ41" s="258"/>
      <c r="AK41" s="258"/>
      <c r="AL41" s="258"/>
      <c r="AM41" s="257">
        <v>0</v>
      </c>
      <c r="AN41" s="268">
        <f>AVERAGE(AJ41:AM41)</f>
        <v>0</v>
      </c>
      <c r="AO41" s="269">
        <f>AN41*1000</f>
        <v>0</v>
      </c>
      <c r="AP41" s="270">
        <f t="shared" ref="AP41:AP44" si="87">AN41*1000*0.01</f>
        <v>0</v>
      </c>
      <c r="AQ41" s="268"/>
      <c r="AR41" s="258"/>
      <c r="AS41" s="258"/>
      <c r="AT41" s="258"/>
      <c r="AU41" s="257">
        <v>0</v>
      </c>
      <c r="AV41" s="271">
        <f>AVERAGE(AR41:AU41)</f>
        <v>0</v>
      </c>
      <c r="AW41" s="272">
        <f>AV41*1000</f>
        <v>0</v>
      </c>
      <c r="AX41" s="273">
        <f t="shared" ref="AX41:AX45" si="88">AV41*1000*0.01</f>
        <v>0</v>
      </c>
      <c r="BA41" s="258"/>
      <c r="BB41" s="258"/>
      <c r="BC41" s="258"/>
      <c r="BD41" s="257">
        <v>0</v>
      </c>
      <c r="BE41" s="268">
        <f>AVERAGE(BA41:BD41)</f>
        <v>0</v>
      </c>
      <c r="BF41" s="269">
        <f>BE41*1000</f>
        <v>0</v>
      </c>
      <c r="BG41" s="270">
        <f t="shared" ref="BG41:BG44" si="89">BE41*1000*0.01</f>
        <v>0</v>
      </c>
      <c r="BH41" s="268"/>
      <c r="BI41" s="258"/>
      <c r="BJ41" s="258"/>
      <c r="BK41" s="258"/>
      <c r="BL41" s="257">
        <v>0</v>
      </c>
      <c r="BM41" s="271">
        <f>AVERAGE(BI41:BL41)</f>
        <v>0</v>
      </c>
      <c r="BN41" s="272">
        <f>BM41*1000</f>
        <v>0</v>
      </c>
      <c r="BO41" s="273">
        <f t="shared" ref="BO41:BO45" si="90">BM41*1000*0.01</f>
        <v>0</v>
      </c>
      <c r="BR41" s="258"/>
      <c r="BS41" s="258"/>
      <c r="BT41" s="258"/>
      <c r="BU41" s="257">
        <v>0</v>
      </c>
      <c r="BV41" s="268">
        <f>AVERAGE(BR41:BU41)</f>
        <v>0</v>
      </c>
      <c r="BW41" s="269">
        <f>BV41*1000</f>
        <v>0</v>
      </c>
      <c r="BX41" s="270">
        <f t="shared" ref="BX41:BX44" si="91">BV41*1000*0.01</f>
        <v>0</v>
      </c>
      <c r="BY41" s="268"/>
      <c r="BZ41" s="258"/>
      <c r="CA41" s="258"/>
      <c r="CB41" s="258"/>
      <c r="CC41" s="257">
        <v>0</v>
      </c>
      <c r="CD41" s="271">
        <f>AVERAGE(BZ41:CC41)</f>
        <v>0</v>
      </c>
      <c r="CE41" s="272">
        <f>CD41*1000</f>
        <v>0</v>
      </c>
      <c r="CF41" s="273">
        <f t="shared" ref="CF41:CF45" si="92">CD41*1000*0.01</f>
        <v>0</v>
      </c>
      <c r="CI41" s="258"/>
      <c r="CJ41" s="258"/>
      <c r="CK41" s="258"/>
      <c r="CL41" s="257">
        <v>0</v>
      </c>
      <c r="CM41" s="268">
        <f>AVERAGE(CI41:CL41)</f>
        <v>0</v>
      </c>
      <c r="CN41" s="269">
        <f>CM41*1000</f>
        <v>0</v>
      </c>
      <c r="CO41" s="270">
        <f t="shared" ref="CO41:CO44" si="93">CM41*1000*0.01</f>
        <v>0</v>
      </c>
      <c r="CP41" s="268"/>
      <c r="CQ41" s="258"/>
      <c r="CR41" s="258"/>
      <c r="CS41" s="258"/>
      <c r="CT41" s="257">
        <v>0</v>
      </c>
      <c r="CU41" s="271">
        <f>AVERAGE(CQ41:CT41)</f>
        <v>0</v>
      </c>
      <c r="CV41" s="272">
        <f>CU41*1000</f>
        <v>0</v>
      </c>
      <c r="CW41" s="273">
        <f t="shared" ref="CW41:CW45" si="94">CU41*1000*0.01</f>
        <v>0</v>
      </c>
    </row>
    <row r="42" spans="2:102" x14ac:dyDescent="0.25">
      <c r="B42" s="253"/>
      <c r="C42" s="253"/>
      <c r="D42" s="253"/>
      <c r="E42" s="252">
        <v>24</v>
      </c>
      <c r="F42" s="268">
        <f t="shared" ref="F42:F45" si="95">1/2*(H19+H18)/100*(B19-B18)*$C$38</f>
        <v>7.2825773973453908E-6</v>
      </c>
      <c r="G42" s="269">
        <f t="shared" ref="G42:G45" si="96">F42*1000</f>
        <v>7.2825773973453911E-3</v>
      </c>
      <c r="H42" s="274">
        <f t="shared" si="83"/>
        <v>7.2825773973453912E-5</v>
      </c>
      <c r="I42" s="268"/>
      <c r="J42" s="253"/>
      <c r="K42" s="253"/>
      <c r="L42" s="253"/>
      <c r="M42" s="252">
        <v>24</v>
      </c>
      <c r="N42" s="271">
        <f t="shared" ref="N42:N45" si="97">1/2*(P19+P18)/100*(J19-J18)*$C$38</f>
        <v>1.5047002561503857E-5</v>
      </c>
      <c r="O42" s="272">
        <f t="shared" ref="O42:O45" si="98">N42*1000</f>
        <v>1.5047002561503858E-2</v>
      </c>
      <c r="P42" s="275">
        <f t="shared" si="84"/>
        <v>1.5047002561503859E-4</v>
      </c>
      <c r="S42" s="253"/>
      <c r="T42" s="253"/>
      <c r="U42" s="253"/>
      <c r="V42" s="252">
        <v>24</v>
      </c>
      <c r="W42" s="268">
        <f t="shared" ref="W42:W45" si="99">1/2*(Y19+Y18)/100*(S19-S18)*$C$38</f>
        <v>8.1833039771654361E-6</v>
      </c>
      <c r="X42" s="269">
        <f t="shared" ref="X42:X45" si="100">W42*1000</f>
        <v>8.1833039771654365E-3</v>
      </c>
      <c r="Y42" s="274">
        <f t="shared" si="85"/>
        <v>8.1833039771654368E-5</v>
      </c>
      <c r="Z42" s="268"/>
      <c r="AA42" s="253"/>
      <c r="AB42" s="253"/>
      <c r="AC42" s="253"/>
      <c r="AD42" s="252">
        <v>24</v>
      </c>
      <c r="AE42" s="271">
        <f t="shared" ref="AE42:AE45" si="101">1/2*(AG19+AG18)/100*(AA19-AA18)*$C$38</f>
        <v>1.3768452622901801E-5</v>
      </c>
      <c r="AF42" s="272">
        <f t="shared" ref="AF42:AF45" si="102">AE42*1000</f>
        <v>1.3768452622901802E-2</v>
      </c>
      <c r="AG42" s="275">
        <f t="shared" si="86"/>
        <v>1.3768452622901802E-4</v>
      </c>
      <c r="AJ42" s="253"/>
      <c r="AK42" s="253"/>
      <c r="AL42" s="253"/>
      <c r="AM42" s="252">
        <v>24</v>
      </c>
      <c r="AN42" s="268">
        <f t="shared" ref="AN42:AN45" si="103">1/2*(AP19+AP18)/100*(AJ19-AJ18)*$C$38</f>
        <v>1.6343299965444745E-5</v>
      </c>
      <c r="AO42" s="269">
        <f t="shared" ref="AO42:AO45" si="104">AN42*1000</f>
        <v>1.6343299965444744E-2</v>
      </c>
      <c r="AP42" s="274">
        <f t="shared" si="87"/>
        <v>1.6343299965444744E-4</v>
      </c>
      <c r="AQ42" s="268"/>
      <c r="AR42" s="253"/>
      <c r="AS42" s="253"/>
      <c r="AT42" s="253"/>
      <c r="AU42" s="252">
        <v>24</v>
      </c>
      <c r="AV42" s="271">
        <f t="shared" ref="AV42:AV45" si="105">1/2*(AX19+AX18)/100*(AR19-AR18)*$C$38</f>
        <v>1.9512347522574485E-5</v>
      </c>
      <c r="AW42" s="272">
        <f t="shared" ref="AW42:AW45" si="106">AV42*1000</f>
        <v>1.9512347522574483E-2</v>
      </c>
      <c r="AX42" s="275">
        <f t="shared" si="88"/>
        <v>1.9512347522574483E-4</v>
      </c>
      <c r="BA42" s="253"/>
      <c r="BB42" s="253"/>
      <c r="BC42" s="253"/>
      <c r="BD42" s="252">
        <v>24</v>
      </c>
      <c r="BE42" s="268">
        <f t="shared" ref="BE42:BE45" si="107">1/2*(BG19+BG18)/100*(BA19-BA18)*$C$38</f>
        <v>2.2205555910228717E-5</v>
      </c>
      <c r="BF42" s="269">
        <f t="shared" ref="BF42:BF45" si="108">BE42*1000</f>
        <v>2.2205555910228717E-2</v>
      </c>
      <c r="BG42" s="274">
        <f t="shared" si="89"/>
        <v>2.2205555910228717E-4</v>
      </c>
      <c r="BH42" s="268"/>
      <c r="BI42" s="253"/>
      <c r="BJ42" s="253"/>
      <c r="BK42" s="253"/>
      <c r="BL42" s="252">
        <v>24</v>
      </c>
      <c r="BM42" s="271">
        <f t="shared" ref="BM42:BM45" si="109">1/2*(BO19+BO18)/100*(BI19-BI18)*$C$38</f>
        <v>4.8545488573115917E-4</v>
      </c>
      <c r="BN42" s="272">
        <f t="shared" ref="BN42:BN45" si="110">BM42*1000</f>
        <v>0.48545488573115919</v>
      </c>
      <c r="BO42" s="275">
        <f t="shared" si="90"/>
        <v>4.8545488573115917E-3</v>
      </c>
      <c r="BR42" s="253"/>
      <c r="BS42" s="253"/>
      <c r="BT42" s="253"/>
      <c r="BU42" s="252">
        <v>24</v>
      </c>
      <c r="BV42" s="268">
        <f t="shared" ref="BV42:BV45" si="111">1/2*(BX19+BX18)/100*(BR19-BR18)*$C$38</f>
        <v>3.8675369715974686E-4</v>
      </c>
      <c r="BW42" s="269">
        <f t="shared" ref="BW42:BW45" si="112">BV42*1000</f>
        <v>0.38675369715974683</v>
      </c>
      <c r="BX42" s="274">
        <f t="shared" si="91"/>
        <v>3.8675369715974683E-3</v>
      </c>
      <c r="BY42" s="268"/>
      <c r="BZ42" s="253"/>
      <c r="CA42" s="253"/>
      <c r="CB42" s="253"/>
      <c r="CC42" s="252">
        <v>24</v>
      </c>
      <c r="CD42" s="271">
        <f t="shared" ref="CD42:CD45" si="113">1/2*(CF19+CF18)/100*(BZ19-BZ18)*$C$38</f>
        <v>3.2291258152352054E-4</v>
      </c>
      <c r="CE42" s="272">
        <f t="shared" ref="CE42:CE45" si="114">CD42*1000</f>
        <v>0.32291258152352054</v>
      </c>
      <c r="CF42" s="275">
        <f t="shared" si="92"/>
        <v>3.2291258152352055E-3</v>
      </c>
      <c r="CI42" s="253"/>
      <c r="CJ42" s="253"/>
      <c r="CK42" s="253"/>
      <c r="CL42" s="252">
        <v>24</v>
      </c>
      <c r="CM42" s="268">
        <f t="shared" ref="CM42:CM45" si="115">1/2*(CO19+CO18)/100*(CI19-CI18)*$C$38</f>
        <v>2.3304476478282983E-5</v>
      </c>
      <c r="CN42" s="269">
        <f t="shared" ref="CN42:CN45" si="116">CM42*1000</f>
        <v>2.3304476478282984E-2</v>
      </c>
      <c r="CO42" s="274">
        <f t="shared" si="93"/>
        <v>2.3304476478282985E-4</v>
      </c>
      <c r="CP42" s="268"/>
      <c r="CQ42" s="253"/>
      <c r="CR42" s="253"/>
      <c r="CS42" s="253"/>
      <c r="CT42" s="252">
        <v>24</v>
      </c>
      <c r="CU42" s="271">
        <f t="shared" ref="CU42:CU45" si="117">1/2*(CW19+CW18)/100*(CQ19-CQ18)*$C$38</f>
        <v>4.5545295431717459E-5</v>
      </c>
      <c r="CV42" s="272">
        <f t="shared" ref="CV42:CV45" si="118">CU42*1000</f>
        <v>4.554529543171746E-2</v>
      </c>
      <c r="CW42" s="275">
        <f t="shared" si="94"/>
        <v>4.5545295431717462E-4</v>
      </c>
    </row>
    <row r="43" spans="2:102" x14ac:dyDescent="0.25">
      <c r="B43" s="253"/>
      <c r="C43" s="253"/>
      <c r="D43" s="253"/>
      <c r="E43" s="252">
        <v>48</v>
      </c>
      <c r="F43" s="268">
        <f t="shared" si="95"/>
        <v>8.0094238931134957E-6</v>
      </c>
      <c r="G43" s="269">
        <f t="shared" si="96"/>
        <v>8.0094238931134962E-3</v>
      </c>
      <c r="H43" s="274">
        <f t="shared" si="83"/>
        <v>8.0094238931134964E-5</v>
      </c>
      <c r="I43" s="268"/>
      <c r="J43" s="253"/>
      <c r="K43" s="253"/>
      <c r="L43" s="253"/>
      <c r="M43" s="252">
        <v>48</v>
      </c>
      <c r="N43" s="271">
        <f t="shared" si="97"/>
        <v>1.7007388115822628E-5</v>
      </c>
      <c r="O43" s="272">
        <f t="shared" si="98"/>
        <v>1.7007388115822628E-2</v>
      </c>
      <c r="P43" s="275">
        <f t="shared" si="84"/>
        <v>1.7007388115822627E-4</v>
      </c>
      <c r="S43" s="253"/>
      <c r="T43" s="253"/>
      <c r="U43" s="253"/>
      <c r="V43" s="252">
        <v>48</v>
      </c>
      <c r="W43" s="268">
        <f t="shared" si="99"/>
        <v>8.789062233407477E-6</v>
      </c>
      <c r="X43" s="269">
        <f t="shared" si="100"/>
        <v>8.7890622334074776E-3</v>
      </c>
      <c r="Y43" s="274">
        <f t="shared" si="85"/>
        <v>8.7890622334074777E-5</v>
      </c>
      <c r="Z43" s="268"/>
      <c r="AA43" s="253"/>
      <c r="AB43" s="253"/>
      <c r="AC43" s="253"/>
      <c r="AD43" s="252">
        <v>48</v>
      </c>
      <c r="AE43" s="271">
        <f t="shared" si="101"/>
        <v>1.6385817417261381E-5</v>
      </c>
      <c r="AF43" s="272">
        <f t="shared" si="102"/>
        <v>1.6385817417261382E-2</v>
      </c>
      <c r="AG43" s="275">
        <f t="shared" si="86"/>
        <v>1.6385817417261382E-4</v>
      </c>
      <c r="AJ43" s="253"/>
      <c r="AK43" s="253"/>
      <c r="AL43" s="253"/>
      <c r="AM43" s="252">
        <v>48</v>
      </c>
      <c r="AN43" s="268">
        <f t="shared" si="103"/>
        <v>4.2067614260419333E-5</v>
      </c>
      <c r="AO43" s="269">
        <f t="shared" si="104"/>
        <v>4.2067614260419335E-2</v>
      </c>
      <c r="AP43" s="274">
        <f t="shared" si="87"/>
        <v>4.2067614260419336E-4</v>
      </c>
      <c r="AQ43" s="268"/>
      <c r="AR43" s="253"/>
      <c r="AS43" s="253"/>
      <c r="AT43" s="253"/>
      <c r="AU43" s="252">
        <v>48</v>
      </c>
      <c r="AV43" s="271">
        <f t="shared" si="105"/>
        <v>2.1595633262674249E-5</v>
      </c>
      <c r="AW43" s="272">
        <f t="shared" si="106"/>
        <v>2.159563326267425E-2</v>
      </c>
      <c r="AX43" s="275">
        <f t="shared" si="88"/>
        <v>2.1595633262674251E-4</v>
      </c>
      <c r="BA43" s="253"/>
      <c r="BB43" s="253"/>
      <c r="BC43" s="253"/>
      <c r="BD43" s="252">
        <v>48</v>
      </c>
      <c r="BE43" s="268">
        <f t="shared" si="107"/>
        <v>2.4937134457457956E-5</v>
      </c>
      <c r="BF43" s="269">
        <f t="shared" si="108"/>
        <v>2.4937134457457957E-2</v>
      </c>
      <c r="BG43" s="274">
        <f t="shared" si="89"/>
        <v>2.4937134457457956E-4</v>
      </c>
      <c r="BH43" s="268"/>
      <c r="BI43" s="253"/>
      <c r="BJ43" s="253"/>
      <c r="BK43" s="253"/>
      <c r="BL43" s="252">
        <v>48</v>
      </c>
      <c r="BM43" s="271">
        <f t="shared" si="109"/>
        <v>5.262038134168271E-4</v>
      </c>
      <c r="BN43" s="272">
        <f t="shared" si="110"/>
        <v>0.52620381341682709</v>
      </c>
      <c r="BO43" s="275">
        <f t="shared" si="90"/>
        <v>5.2620381341682712E-3</v>
      </c>
      <c r="BR43" s="253"/>
      <c r="BS43" s="253"/>
      <c r="BT43" s="253"/>
      <c r="BU43" s="252">
        <v>48</v>
      </c>
      <c r="BV43" s="268">
        <f t="shared" si="111"/>
        <v>4.1925632645086451E-4</v>
      </c>
      <c r="BW43" s="269">
        <f t="shared" si="112"/>
        <v>0.41925632645086452</v>
      </c>
      <c r="BX43" s="274">
        <f t="shared" si="91"/>
        <v>4.1925632645086457E-3</v>
      </c>
      <c r="BY43" s="268"/>
      <c r="BZ43" s="253"/>
      <c r="CA43" s="253"/>
      <c r="CB43" s="253"/>
      <c r="CC43" s="252">
        <v>48</v>
      </c>
      <c r="CD43" s="271">
        <f t="shared" si="113"/>
        <v>3.3251532468985543E-4</v>
      </c>
      <c r="CE43" s="272">
        <f t="shared" si="114"/>
        <v>0.33251532468985545</v>
      </c>
      <c r="CF43" s="275">
        <f t="shared" si="92"/>
        <v>3.3251532468985545E-3</v>
      </c>
      <c r="CI43" s="253"/>
      <c r="CJ43" s="253"/>
      <c r="CK43" s="253"/>
      <c r="CL43" s="252">
        <v>48</v>
      </c>
      <c r="CM43" s="268">
        <f t="shared" si="115"/>
        <v>2.47809413765676E-5</v>
      </c>
      <c r="CN43" s="269">
        <f t="shared" si="116"/>
        <v>2.4780941376567601E-2</v>
      </c>
      <c r="CO43" s="274">
        <f t="shared" si="93"/>
        <v>2.47809413765676E-4</v>
      </c>
      <c r="CP43" s="268"/>
      <c r="CQ43" s="253"/>
      <c r="CR43" s="253"/>
      <c r="CS43" s="253"/>
      <c r="CT43" s="252">
        <v>48</v>
      </c>
      <c r="CU43" s="271">
        <f t="shared" si="117"/>
        <v>4.7037644148973741E-5</v>
      </c>
      <c r="CV43" s="272">
        <f t="shared" si="118"/>
        <v>4.703764414897374E-2</v>
      </c>
      <c r="CW43" s="275">
        <f t="shared" si="94"/>
        <v>4.703764414897374E-4</v>
      </c>
    </row>
    <row r="44" spans="2:102" x14ac:dyDescent="0.25">
      <c r="B44" s="253"/>
      <c r="C44" s="253"/>
      <c r="D44" s="253"/>
      <c r="E44" s="252">
        <v>72</v>
      </c>
      <c r="F44" s="268">
        <f t="shared" si="95"/>
        <v>7.4243478979083069E-7</v>
      </c>
      <c r="G44" s="269">
        <f t="shared" si="96"/>
        <v>7.4243478979083065E-4</v>
      </c>
      <c r="H44" s="274">
        <f t="shared" si="83"/>
        <v>7.4243478979083063E-6</v>
      </c>
      <c r="I44" s="268"/>
      <c r="J44" s="253"/>
      <c r="K44" s="253"/>
      <c r="L44" s="253"/>
      <c r="M44" s="252">
        <v>72</v>
      </c>
      <c r="N44" s="271">
        <f t="shared" si="97"/>
        <v>1.986228082087926E-6</v>
      </c>
      <c r="O44" s="272">
        <f t="shared" si="98"/>
        <v>1.9862280820879259E-3</v>
      </c>
      <c r="P44" s="275">
        <f t="shared" si="84"/>
        <v>1.986228082087926E-5</v>
      </c>
      <c r="S44" s="253"/>
      <c r="T44" s="253"/>
      <c r="U44" s="253"/>
      <c r="V44" s="252">
        <v>72</v>
      </c>
      <c r="W44" s="268">
        <f t="shared" si="99"/>
        <v>6.217245736758748E-7</v>
      </c>
      <c r="X44" s="269">
        <f t="shared" si="100"/>
        <v>6.2172457367587486E-4</v>
      </c>
      <c r="Y44" s="274">
        <f t="shared" si="85"/>
        <v>6.2172457367587487E-6</v>
      </c>
      <c r="Z44" s="268"/>
      <c r="AA44" s="253"/>
      <c r="AB44" s="253"/>
      <c r="AC44" s="253"/>
      <c r="AD44" s="252">
        <v>72</v>
      </c>
      <c r="AE44" s="271">
        <f t="shared" si="101"/>
        <v>2.6514050766693135E-6</v>
      </c>
      <c r="AF44" s="272">
        <f t="shared" si="102"/>
        <v>2.6514050766693136E-3</v>
      </c>
      <c r="AG44" s="275">
        <f t="shared" si="86"/>
        <v>2.6514050766693137E-5</v>
      </c>
      <c r="AJ44" s="253"/>
      <c r="AK44" s="253"/>
      <c r="AL44" s="253"/>
      <c r="AM44" s="252">
        <v>72</v>
      </c>
      <c r="AN44" s="268">
        <f t="shared" si="103"/>
        <v>2.5733111586153141E-5</v>
      </c>
      <c r="AO44" s="269">
        <f t="shared" si="104"/>
        <v>2.5733111586153143E-2</v>
      </c>
      <c r="AP44" s="274">
        <f t="shared" si="87"/>
        <v>2.5733111586153144E-4</v>
      </c>
      <c r="AQ44" s="268"/>
      <c r="AR44" s="253"/>
      <c r="AS44" s="253"/>
      <c r="AT44" s="253"/>
      <c r="AU44" s="252">
        <v>72</v>
      </c>
      <c r="AV44" s="271">
        <f t="shared" si="105"/>
        <v>2.1553341859050434E-6</v>
      </c>
      <c r="AW44" s="272">
        <f t="shared" si="106"/>
        <v>2.1553341859050436E-3</v>
      </c>
      <c r="AX44" s="275">
        <f t="shared" si="88"/>
        <v>2.1553341859050435E-5</v>
      </c>
      <c r="BA44" s="253"/>
      <c r="BB44" s="253"/>
      <c r="BC44" s="253"/>
      <c r="BD44" s="252">
        <v>72</v>
      </c>
      <c r="BE44" s="268">
        <f t="shared" si="107"/>
        <v>2.9329834843427018E-6</v>
      </c>
      <c r="BF44" s="269">
        <f t="shared" si="108"/>
        <v>2.9329834843427019E-3</v>
      </c>
      <c r="BG44" s="274">
        <f t="shared" si="89"/>
        <v>2.9329834843427021E-5</v>
      </c>
      <c r="BH44" s="268"/>
      <c r="BI44" s="253"/>
      <c r="BJ44" s="253"/>
      <c r="BK44" s="253"/>
      <c r="BL44" s="252">
        <v>72</v>
      </c>
      <c r="BM44" s="271">
        <f t="shared" si="109"/>
        <v>4.7960902538152384E-5</v>
      </c>
      <c r="BN44" s="272">
        <f t="shared" si="110"/>
        <v>4.7960902538152383E-2</v>
      </c>
      <c r="BO44" s="275">
        <f t="shared" si="90"/>
        <v>4.7960902538152385E-4</v>
      </c>
      <c r="BR44" s="253"/>
      <c r="BS44" s="253"/>
      <c r="BT44" s="253"/>
      <c r="BU44" s="252">
        <v>72</v>
      </c>
      <c r="BV44" s="268">
        <f t="shared" si="111"/>
        <v>4.205896646627475E-5</v>
      </c>
      <c r="BW44" s="269">
        <f t="shared" si="112"/>
        <v>4.2058966466274751E-2</v>
      </c>
      <c r="BX44" s="274">
        <f t="shared" si="91"/>
        <v>4.205896646627475E-4</v>
      </c>
      <c r="BY44" s="268"/>
      <c r="BZ44" s="253"/>
      <c r="CA44" s="253"/>
      <c r="CB44" s="253"/>
      <c r="CC44" s="252">
        <v>72</v>
      </c>
      <c r="CD44" s="271">
        <f t="shared" si="113"/>
        <v>1.1029963775972909E-5</v>
      </c>
      <c r="CE44" s="272">
        <f t="shared" si="114"/>
        <v>1.1029963775972909E-2</v>
      </c>
      <c r="CF44" s="275">
        <f t="shared" si="92"/>
        <v>1.102996377597291E-4</v>
      </c>
      <c r="CI44" s="253"/>
      <c r="CJ44" s="253"/>
      <c r="CK44" s="253"/>
      <c r="CL44" s="252">
        <v>72</v>
      </c>
      <c r="CM44" s="268">
        <f t="shared" si="115"/>
        <v>1.5158935735071024E-6</v>
      </c>
      <c r="CN44" s="269">
        <f t="shared" si="116"/>
        <v>1.5158935735071024E-3</v>
      </c>
      <c r="CO44" s="274">
        <f t="shared" si="93"/>
        <v>1.5158935735071025E-5</v>
      </c>
      <c r="CP44" s="268"/>
      <c r="CQ44" s="253"/>
      <c r="CR44" s="253"/>
      <c r="CS44" s="253"/>
      <c r="CT44" s="252">
        <v>72</v>
      </c>
      <c r="CU44" s="271">
        <f t="shared" si="117"/>
        <v>1.5231160419025523E-6</v>
      </c>
      <c r="CV44" s="272">
        <f t="shared" si="118"/>
        <v>1.5231160419025523E-3</v>
      </c>
      <c r="CW44" s="275">
        <f t="shared" si="94"/>
        <v>1.5231160419025523E-5</v>
      </c>
    </row>
    <row r="45" spans="2:102" x14ac:dyDescent="0.25">
      <c r="B45" s="253"/>
      <c r="C45" s="253"/>
      <c r="D45" s="253"/>
      <c r="E45" s="252">
        <v>216</v>
      </c>
      <c r="F45" s="268">
        <f t="shared" si="95"/>
        <v>9.353078537769119E-8</v>
      </c>
      <c r="G45" s="269">
        <f t="shared" si="96"/>
        <v>9.3530785377691193E-5</v>
      </c>
      <c r="H45" s="274">
        <f>F45*1000*0.01</f>
        <v>9.3530785377691193E-7</v>
      </c>
      <c r="I45" s="268"/>
      <c r="J45" s="253"/>
      <c r="K45" s="253"/>
      <c r="L45" s="253"/>
      <c r="M45" s="252">
        <v>216</v>
      </c>
      <c r="N45" s="271">
        <f t="shared" si="97"/>
        <v>1.550573647215639E-7</v>
      </c>
      <c r="O45" s="272">
        <f t="shared" si="98"/>
        <v>1.5505736472156391E-4</v>
      </c>
      <c r="P45" s="275">
        <f t="shared" si="84"/>
        <v>1.5505736472156392E-6</v>
      </c>
      <c r="S45" s="253"/>
      <c r="T45" s="253"/>
      <c r="U45" s="253"/>
      <c r="V45" s="252">
        <v>216</v>
      </c>
      <c r="W45" s="268">
        <f t="shared" si="99"/>
        <v>9.5798410087629675E-8</v>
      </c>
      <c r="X45" s="269">
        <f t="shared" si="100"/>
        <v>9.5798410087629673E-5</v>
      </c>
      <c r="Y45" s="274">
        <f>W45*1000*0.01</f>
        <v>9.5798410087629677E-7</v>
      </c>
      <c r="Z45" s="268"/>
      <c r="AA45" s="253"/>
      <c r="AB45" s="253"/>
      <c r="AC45" s="253"/>
      <c r="AD45" s="252">
        <v>216</v>
      </c>
      <c r="AE45" s="271">
        <f t="shared" si="101"/>
        <v>2.042451673225946E-7</v>
      </c>
      <c r="AF45" s="272">
        <f t="shared" si="102"/>
        <v>2.0424516732259459E-4</v>
      </c>
      <c r="AG45" s="275">
        <f t="shared" si="86"/>
        <v>2.0424516732259459E-6</v>
      </c>
      <c r="AJ45" s="253"/>
      <c r="AK45" s="253"/>
      <c r="AL45" s="253"/>
      <c r="AM45" s="252">
        <v>216</v>
      </c>
      <c r="AN45" s="268">
        <f t="shared" si="103"/>
        <v>5.279103278248988E-8</v>
      </c>
      <c r="AO45" s="269">
        <f t="shared" si="104"/>
        <v>5.2791032782489881E-5</v>
      </c>
      <c r="AP45" s="274">
        <f>AN45*1000*0.01</f>
        <v>5.2791032782489885E-7</v>
      </c>
      <c r="AQ45" s="268"/>
      <c r="AR45" s="253"/>
      <c r="AS45" s="253"/>
      <c r="AT45" s="253"/>
      <c r="AU45" s="252">
        <v>216</v>
      </c>
      <c r="AV45" s="271">
        <f t="shared" si="105"/>
        <v>4.322966517770324E-7</v>
      </c>
      <c r="AW45" s="272">
        <f t="shared" si="106"/>
        <v>4.3229665177703239E-4</v>
      </c>
      <c r="AX45" s="275">
        <f t="shared" si="88"/>
        <v>4.3229665177703243E-6</v>
      </c>
      <c r="BA45" s="253"/>
      <c r="BB45" s="253"/>
      <c r="BC45" s="253"/>
      <c r="BD45" s="252">
        <v>216</v>
      </c>
      <c r="BE45" s="268">
        <f t="shared" si="107"/>
        <v>1.2084326743539959E-6</v>
      </c>
      <c r="BF45" s="269">
        <f t="shared" si="108"/>
        <v>1.208432674353996E-3</v>
      </c>
      <c r="BG45" s="274">
        <f>BE45*1000*0.01</f>
        <v>1.208432674353996E-5</v>
      </c>
      <c r="BH45" s="268"/>
      <c r="BI45" s="253"/>
      <c r="BJ45" s="253"/>
      <c r="BK45" s="253"/>
      <c r="BL45" s="252">
        <v>216</v>
      </c>
      <c r="BM45" s="271">
        <f t="shared" si="109"/>
        <v>4.3272042185892869E-5</v>
      </c>
      <c r="BN45" s="272">
        <f t="shared" si="110"/>
        <v>4.3272042185892867E-2</v>
      </c>
      <c r="BO45" s="275">
        <f t="shared" si="90"/>
        <v>4.3272042185892869E-4</v>
      </c>
      <c r="BR45" s="253"/>
      <c r="BS45" s="253"/>
      <c r="BT45" s="253"/>
      <c r="BU45" s="252">
        <v>216</v>
      </c>
      <c r="BV45" s="268">
        <f t="shared" si="111"/>
        <v>5.7338199972041224E-5</v>
      </c>
      <c r="BW45" s="269">
        <f t="shared" si="112"/>
        <v>5.7338199972041225E-2</v>
      </c>
      <c r="BX45" s="274">
        <f>BV45*1000*0.01</f>
        <v>5.7338199972041223E-4</v>
      </c>
      <c r="BY45" s="268"/>
      <c r="BZ45" s="253"/>
      <c r="CA45" s="253"/>
      <c r="CB45" s="253"/>
      <c r="CC45" s="252">
        <v>216</v>
      </c>
      <c r="CD45" s="271">
        <f t="shared" si="113"/>
        <v>8.5633719448424936E-6</v>
      </c>
      <c r="CE45" s="272">
        <f t="shared" si="114"/>
        <v>8.5633719448424944E-3</v>
      </c>
      <c r="CF45" s="275">
        <f t="shared" si="92"/>
        <v>8.5633719448424946E-5</v>
      </c>
      <c r="CI45" s="253"/>
      <c r="CJ45" s="253"/>
      <c r="CK45" s="253"/>
      <c r="CL45" s="252">
        <v>216</v>
      </c>
      <c r="CM45" s="268">
        <f t="shared" si="115"/>
        <v>2.3657956908688527E-7</v>
      </c>
      <c r="CN45" s="269">
        <f t="shared" si="116"/>
        <v>2.3657956908688528E-4</v>
      </c>
      <c r="CO45" s="274">
        <f>CM45*1000*0.01</f>
        <v>2.365795690868853E-6</v>
      </c>
      <c r="CP45" s="268"/>
      <c r="CQ45" s="253"/>
      <c r="CR45" s="253"/>
      <c r="CS45" s="253"/>
      <c r="CT45" s="252">
        <v>216</v>
      </c>
      <c r="CU45" s="271">
        <f t="shared" si="117"/>
        <v>1.8460493915888823E-7</v>
      </c>
      <c r="CV45" s="272">
        <f t="shared" si="118"/>
        <v>1.8460493915888824E-4</v>
      </c>
      <c r="CW45" s="275">
        <f t="shared" si="94"/>
        <v>1.8460493915888824E-6</v>
      </c>
    </row>
    <row r="46" spans="2:102" x14ac:dyDescent="0.25">
      <c r="B46" s="253"/>
      <c r="C46" s="253"/>
      <c r="D46" s="253"/>
      <c r="E46" s="276" t="s">
        <v>77</v>
      </c>
      <c r="F46" s="268">
        <f>H22/LN(2)*(8.04*24)*EXP(216*LN(2)/(8.04*24))</f>
        <v>2.0987937855904897E-9</v>
      </c>
      <c r="G46" s="269">
        <f>F46*1000</f>
        <v>2.0987937855904895E-6</v>
      </c>
      <c r="H46" s="274">
        <f>F46*1000*0.01</f>
        <v>2.0987937855904895E-8</v>
      </c>
      <c r="I46" s="268"/>
      <c r="J46" s="253"/>
      <c r="K46" s="253"/>
      <c r="L46" s="253"/>
      <c r="M46" s="276" t="s">
        <v>77</v>
      </c>
      <c r="N46" s="271">
        <f>P22/LN(2)*(8.04*24)*EXP(216*LN(2)/(8.04*24))</f>
        <v>4.5174165882185803E-9</v>
      </c>
      <c r="O46" s="272">
        <f>N46*1000</f>
        <v>4.51741658821858E-6</v>
      </c>
      <c r="P46" s="275">
        <f>N46*1000*0.01</f>
        <v>4.5174165882185802E-8</v>
      </c>
      <c r="S46" s="253"/>
      <c r="T46" s="253"/>
      <c r="U46" s="253"/>
      <c r="V46" s="276" t="s">
        <v>77</v>
      </c>
      <c r="W46" s="268">
        <f>Y22/LN(2)*(8.04*24)*EXP(216*LN(2)/(8.04*24))</f>
        <v>1.0388416142347092E-9</v>
      </c>
      <c r="X46" s="269">
        <f>W46*1000</f>
        <v>1.0388416142347091E-6</v>
      </c>
      <c r="Y46" s="274">
        <f>W46*1000*0.01</f>
        <v>1.0388416142347092E-8</v>
      </c>
      <c r="Z46" s="268"/>
      <c r="AA46" s="253"/>
      <c r="AB46" s="253"/>
      <c r="AC46" s="253"/>
      <c r="AD46" s="276" t="s">
        <v>77</v>
      </c>
      <c r="AE46" s="271">
        <f>AG22/LN(2)*(8.04*24)*EXP(216*LN(2)/(8.04*24))</f>
        <v>7.1384546795568691E-9</v>
      </c>
      <c r="AF46" s="272">
        <f>AE46*1000</f>
        <v>7.1384546795568691E-6</v>
      </c>
      <c r="AG46" s="275">
        <f>AE46*1000*0.01</f>
        <v>7.1384546795568689E-8</v>
      </c>
      <c r="AJ46" s="253"/>
      <c r="AK46" s="253"/>
      <c r="AL46" s="253"/>
      <c r="AM46" s="276" t="s">
        <v>77</v>
      </c>
      <c r="AN46" s="268">
        <f>AP22/LN(2)*(8.04*24)*EXP(216*LN(2)/(8.04*24))</f>
        <v>1.4973155340630102E-8</v>
      </c>
      <c r="AO46" s="269">
        <f>AN46*1000</f>
        <v>1.4973155340630101E-5</v>
      </c>
      <c r="AP46" s="274">
        <f>AN46*1000*0.01</f>
        <v>1.4973155340630101E-7</v>
      </c>
      <c r="AQ46" s="268"/>
      <c r="AR46" s="253"/>
      <c r="AS46" s="253"/>
      <c r="AT46" s="253"/>
      <c r="AU46" s="276" t="s">
        <v>77</v>
      </c>
      <c r="AV46" s="271">
        <f>AX22/LN(2)*(8.04*24)*EXP(216*LN(2)/(8.04*24))</f>
        <v>1.2283458590333392E-8</v>
      </c>
      <c r="AW46" s="272">
        <f>AV46*1000</f>
        <v>1.2283458590333392E-5</v>
      </c>
      <c r="AX46" s="275">
        <f>AV46*1000*0.01</f>
        <v>1.2283458590333393E-7</v>
      </c>
      <c r="BA46" s="253"/>
      <c r="BB46" s="253"/>
      <c r="BC46" s="253"/>
      <c r="BD46" s="276" t="s">
        <v>77</v>
      </c>
      <c r="BE46" s="268">
        <f>BG22/LN(2)*(8.04*24)*EXP(216*LN(2)/(8.04*24))</f>
        <v>6.2716152467810246E-9</v>
      </c>
      <c r="BF46" s="269">
        <f>BE46*1000</f>
        <v>6.2716152467810244E-6</v>
      </c>
      <c r="BG46" s="274">
        <f>BE46*1000*0.01</f>
        <v>6.2716152467810248E-8</v>
      </c>
      <c r="BH46" s="268"/>
      <c r="BI46" s="253"/>
      <c r="BJ46" s="253"/>
      <c r="BK46" s="253"/>
      <c r="BL46" s="276" t="s">
        <v>77</v>
      </c>
      <c r="BM46" s="271">
        <f>BO22/LN(2)*(8.04*24)*EXP(216*LN(2)/(8.04*24))</f>
        <v>3.9678787825414866E-7</v>
      </c>
      <c r="BN46" s="272">
        <f>BM46*1000</f>
        <v>3.9678787825414867E-4</v>
      </c>
      <c r="BO46" s="275">
        <f>BM46*1000*0.01</f>
        <v>3.967878782541487E-6</v>
      </c>
      <c r="BR46" s="253"/>
      <c r="BS46" s="253"/>
      <c r="BT46" s="253"/>
      <c r="BU46" s="276" t="s">
        <v>77</v>
      </c>
      <c r="BV46" s="268">
        <f>BX22/LN(2)*(8.04*24)*EXP(216*LN(2)/(8.04*24))</f>
        <v>3.6359760092980922E-7</v>
      </c>
      <c r="BW46" s="269">
        <f>BV46*1000</f>
        <v>3.6359760092980923E-4</v>
      </c>
      <c r="BX46" s="274">
        <f>BV46*1000*0.01</f>
        <v>3.6359760092980922E-6</v>
      </c>
      <c r="BY46" s="268"/>
      <c r="BZ46" s="253"/>
      <c r="CA46" s="253"/>
      <c r="CB46" s="253"/>
      <c r="CC46" s="276" t="s">
        <v>77</v>
      </c>
      <c r="CD46" s="271">
        <f>CF22/LN(2)*(8.04*24)*EXP(216*LN(2)/(8.04*24))</f>
        <v>9.9236566266543922E-8</v>
      </c>
      <c r="CE46" s="272">
        <f>CD46*1000</f>
        <v>9.9236566266543919E-5</v>
      </c>
      <c r="CF46" s="275">
        <f>CD46*1000*0.01</f>
        <v>9.9236566266543922E-7</v>
      </c>
      <c r="CI46" s="253"/>
      <c r="CJ46" s="253"/>
      <c r="CK46" s="253"/>
      <c r="CL46" s="276" t="s">
        <v>77</v>
      </c>
      <c r="CM46" s="268">
        <f>CO22/LN(2)*(8.04*24)*EXP(216*LN(2)/(8.04*24))</f>
        <v>1.5450031693805365E-8</v>
      </c>
      <c r="CN46" s="269">
        <f>CM46*1000</f>
        <v>1.5450031693805366E-5</v>
      </c>
      <c r="CO46" s="274">
        <f>CM46*1000*0.01</f>
        <v>1.5450031693805365E-7</v>
      </c>
      <c r="CP46" s="268"/>
      <c r="CQ46" s="253"/>
      <c r="CR46" s="253"/>
      <c r="CS46" s="253"/>
      <c r="CT46" s="276" t="s">
        <v>77</v>
      </c>
      <c r="CU46" s="271">
        <f>CW22/LN(2)*(8.04*24)*EXP(216*LN(2)/(8.04*24))</f>
        <v>2.0372215492652752E-9</v>
      </c>
      <c r="CV46" s="272">
        <f>CU46*1000</f>
        <v>2.0372215492652753E-6</v>
      </c>
      <c r="CW46" s="275">
        <f>CU46*1000*0.01</f>
        <v>2.0372215492652753E-8</v>
      </c>
    </row>
    <row r="47" spans="2:102" x14ac:dyDescent="0.25">
      <c r="B47" s="253"/>
      <c r="C47" s="253"/>
      <c r="D47" s="253"/>
      <c r="E47" s="252"/>
      <c r="F47" s="268"/>
      <c r="G47" s="269"/>
      <c r="H47" s="274"/>
      <c r="I47" s="268"/>
      <c r="J47" s="253"/>
      <c r="K47" s="253"/>
      <c r="L47" s="253"/>
      <c r="M47" s="252"/>
      <c r="N47" s="268"/>
      <c r="O47" s="269"/>
      <c r="P47" s="274"/>
      <c r="S47" s="253"/>
      <c r="T47" s="253"/>
      <c r="U47" s="253"/>
      <c r="V47" s="252"/>
      <c r="W47" s="268"/>
      <c r="X47" s="269"/>
      <c r="Y47" s="274"/>
      <c r="Z47" s="268"/>
      <c r="AA47" s="253"/>
      <c r="AB47" s="253"/>
      <c r="AC47" s="253"/>
      <c r="AD47" s="252"/>
      <c r="AE47" s="268"/>
      <c r="AF47" s="269"/>
      <c r="AG47" s="274"/>
      <c r="AJ47" s="253"/>
      <c r="AK47" s="253"/>
      <c r="AL47" s="253"/>
      <c r="AM47" s="252"/>
      <c r="AN47" s="268"/>
      <c r="AO47" s="269"/>
      <c r="AP47" s="274"/>
      <c r="AQ47" s="268"/>
      <c r="AR47" s="253"/>
      <c r="AS47" s="253"/>
      <c r="AT47" s="253"/>
      <c r="AU47" s="252"/>
      <c r="AV47" s="268"/>
      <c r="AW47" s="269"/>
      <c r="AX47" s="274"/>
      <c r="BA47" s="253"/>
      <c r="BB47" s="253"/>
      <c r="BC47" s="253"/>
      <c r="BD47" s="252"/>
      <c r="BE47" s="268"/>
      <c r="BF47" s="269"/>
      <c r="BG47" s="274"/>
      <c r="BH47" s="268"/>
      <c r="BI47" s="253"/>
      <c r="BJ47" s="253"/>
      <c r="BK47" s="253"/>
      <c r="BL47" s="252"/>
      <c r="BM47" s="268"/>
      <c r="BN47" s="269"/>
      <c r="BO47" s="274"/>
      <c r="BR47" s="253"/>
      <c r="BS47" s="253"/>
      <c r="BT47" s="253"/>
      <c r="BU47" s="252"/>
      <c r="BV47" s="268"/>
      <c r="BW47" s="269"/>
      <c r="BX47" s="274"/>
      <c r="BY47" s="268"/>
      <c r="BZ47" s="253"/>
      <c r="CA47" s="253"/>
      <c r="CB47" s="253"/>
      <c r="CC47" s="252"/>
      <c r="CD47" s="268"/>
      <c r="CE47" s="269"/>
      <c r="CF47" s="274"/>
      <c r="CI47" s="253"/>
      <c r="CJ47" s="253"/>
      <c r="CK47" s="253"/>
      <c r="CL47" s="252"/>
      <c r="CM47" s="268"/>
      <c r="CN47" s="269"/>
      <c r="CO47" s="274"/>
      <c r="CP47" s="268"/>
      <c r="CQ47" s="253"/>
      <c r="CR47" s="253"/>
      <c r="CS47" s="253"/>
      <c r="CT47" s="252"/>
      <c r="CU47" s="268"/>
      <c r="CV47" s="269"/>
      <c r="CW47" s="274"/>
    </row>
    <row r="48" spans="2:102" x14ac:dyDescent="0.25">
      <c r="B48" s="253"/>
      <c r="C48" s="253"/>
      <c r="D48" s="253"/>
      <c r="I48" s="277"/>
      <c r="J48" s="253"/>
      <c r="K48" s="253"/>
      <c r="L48" s="253"/>
      <c r="S48" s="253"/>
      <c r="T48" s="253"/>
      <c r="U48" s="253"/>
      <c r="Z48" s="277"/>
      <c r="AA48" s="253"/>
      <c r="AB48" s="253"/>
      <c r="AC48" s="253"/>
      <c r="AJ48" s="253"/>
      <c r="AK48" s="253"/>
      <c r="AL48" s="253"/>
      <c r="AQ48" s="277"/>
      <c r="AR48" s="253"/>
      <c r="AS48" s="253"/>
      <c r="AT48" s="253"/>
      <c r="BA48" s="253"/>
      <c r="BB48" s="253"/>
      <c r="BC48" s="253"/>
      <c r="BH48" s="277"/>
      <c r="BI48" s="253"/>
      <c r="BJ48" s="253"/>
      <c r="BK48" s="253"/>
      <c r="BR48" s="253"/>
      <c r="BS48" s="253"/>
      <c r="BT48" s="253"/>
      <c r="BY48" s="277"/>
      <c r="BZ48" s="253"/>
      <c r="CA48" s="253"/>
      <c r="CB48" s="253"/>
      <c r="CI48" s="253"/>
      <c r="CJ48" s="253"/>
      <c r="CK48" s="253"/>
      <c r="CP48" s="277"/>
      <c r="CQ48" s="253"/>
      <c r="CR48" s="253"/>
      <c r="CS48" s="253"/>
    </row>
    <row r="49" spans="2:101" ht="18.75" x14ac:dyDescent="0.3">
      <c r="B49" s="253"/>
      <c r="C49" s="253"/>
      <c r="D49" s="253"/>
      <c r="E49" s="253"/>
      <c r="F49" s="278" t="str">
        <f>C2</f>
        <v>Heart</v>
      </c>
      <c r="G49" s="278"/>
      <c r="H49" s="278"/>
      <c r="I49" s="277"/>
      <c r="J49" s="253"/>
      <c r="K49" s="253"/>
      <c r="L49" s="253"/>
      <c r="M49" s="253"/>
      <c r="N49" s="279" t="str">
        <f>K2</f>
        <v>Lungs</v>
      </c>
      <c r="O49" s="279"/>
      <c r="P49" s="279"/>
      <c r="S49" s="253"/>
      <c r="T49" s="253"/>
      <c r="U49" s="253"/>
      <c r="V49" s="253"/>
      <c r="W49" s="278" t="str">
        <f>T2</f>
        <v>Blood</v>
      </c>
      <c r="X49" s="278"/>
      <c r="Y49" s="278"/>
      <c r="Z49" s="277"/>
      <c r="AA49" s="253"/>
      <c r="AB49" s="253"/>
      <c r="AC49" s="253"/>
      <c r="AD49" s="253"/>
      <c r="AE49" s="279" t="str">
        <f>AB2</f>
        <v>Skin</v>
      </c>
      <c r="AF49" s="279"/>
      <c r="AG49" s="279"/>
      <c r="AJ49" s="253"/>
      <c r="AK49" s="253"/>
      <c r="AL49" s="253"/>
      <c r="AM49" s="253"/>
      <c r="AN49" s="278" t="str">
        <f>AK2</f>
        <v>Muscle</v>
      </c>
      <c r="AO49" s="278"/>
      <c r="AP49" s="278"/>
      <c r="AQ49" s="277"/>
      <c r="AR49" s="253"/>
      <c r="AS49" s="253"/>
      <c r="AT49" s="253"/>
      <c r="AU49" s="253"/>
      <c r="AV49" s="279" t="str">
        <f>AS2</f>
        <v>Liver</v>
      </c>
      <c r="AW49" s="279"/>
      <c r="AX49" s="279"/>
      <c r="BA49" s="253"/>
      <c r="BB49" s="253"/>
      <c r="BC49" s="253"/>
      <c r="BD49" s="253"/>
      <c r="BE49" s="278" t="str">
        <f>BB2</f>
        <v>Kidneys</v>
      </c>
      <c r="BF49" s="278"/>
      <c r="BG49" s="278"/>
      <c r="BH49" s="277"/>
      <c r="BI49" s="253"/>
      <c r="BJ49" s="253"/>
      <c r="BK49" s="253"/>
      <c r="BL49" s="253"/>
      <c r="BM49" s="279" t="str">
        <f>BJ2</f>
        <v>Spleen</v>
      </c>
      <c r="BN49" s="279"/>
      <c r="BO49" s="279"/>
      <c r="BR49" s="253"/>
      <c r="BS49" s="253"/>
      <c r="BT49" s="253"/>
      <c r="BU49" s="253"/>
      <c r="BV49" s="278" t="str">
        <f>BS2</f>
        <v>Pancreas</v>
      </c>
      <c r="BW49" s="278"/>
      <c r="BX49" s="278"/>
      <c r="BY49" s="277"/>
      <c r="BZ49" s="253"/>
      <c r="CA49" s="253"/>
      <c r="CB49" s="253"/>
      <c r="CC49" s="253"/>
      <c r="CD49" s="279" t="str">
        <f>CA2</f>
        <v>Stomach</v>
      </c>
      <c r="CE49" s="279"/>
      <c r="CF49" s="279"/>
      <c r="CI49" s="253"/>
      <c r="CJ49" s="253"/>
      <c r="CK49" s="253"/>
      <c r="CL49" s="253"/>
      <c r="CM49" s="278" t="str">
        <f>CJ2</f>
        <v>Small Intestines</v>
      </c>
      <c r="CN49" s="278"/>
      <c r="CO49" s="278"/>
      <c r="CP49" s="277"/>
      <c r="CQ49" s="253"/>
      <c r="CR49" s="253"/>
      <c r="CS49" s="253"/>
      <c r="CT49" s="253"/>
      <c r="CU49" s="279" t="str">
        <f>CR2</f>
        <v>Large Intestines</v>
      </c>
      <c r="CV49" s="279"/>
      <c r="CW49" s="279"/>
    </row>
    <row r="50" spans="2:101" ht="15.75" thickBot="1" x14ac:dyDescent="0.3">
      <c r="F50" s="280" t="s">
        <v>78</v>
      </c>
      <c r="G50" s="280" t="s">
        <v>79</v>
      </c>
      <c r="H50" s="280" t="s">
        <v>80</v>
      </c>
      <c r="N50" s="280" t="s">
        <v>78</v>
      </c>
      <c r="O50" s="280" t="s">
        <v>79</v>
      </c>
      <c r="P50" s="280" t="s">
        <v>80</v>
      </c>
      <c r="W50" s="280" t="s">
        <v>78</v>
      </c>
      <c r="X50" s="280" t="s">
        <v>79</v>
      </c>
      <c r="Y50" s="280" t="s">
        <v>80</v>
      </c>
      <c r="AE50" s="280" t="s">
        <v>78</v>
      </c>
      <c r="AF50" s="280" t="s">
        <v>79</v>
      </c>
      <c r="AG50" s="280" t="s">
        <v>80</v>
      </c>
      <c r="AN50" s="280" t="s">
        <v>78</v>
      </c>
      <c r="AO50" s="280" t="s">
        <v>79</v>
      </c>
      <c r="AP50" s="280" t="s">
        <v>80</v>
      </c>
      <c r="AV50" s="280" t="s">
        <v>78</v>
      </c>
      <c r="AW50" s="280" t="s">
        <v>79</v>
      </c>
      <c r="AX50" s="280" t="s">
        <v>80</v>
      </c>
      <c r="BE50" s="280" t="s">
        <v>78</v>
      </c>
      <c r="BF50" s="280" t="s">
        <v>79</v>
      </c>
      <c r="BG50" s="280" t="s">
        <v>80</v>
      </c>
      <c r="BM50" s="280" t="s">
        <v>78</v>
      </c>
      <c r="BN50" s="280" t="s">
        <v>79</v>
      </c>
      <c r="BO50" s="280" t="s">
        <v>80</v>
      </c>
      <c r="BV50" s="280" t="s">
        <v>78</v>
      </c>
      <c r="BW50" s="280" t="s">
        <v>79</v>
      </c>
      <c r="BX50" s="280" t="s">
        <v>80</v>
      </c>
      <c r="CD50" s="280" t="s">
        <v>78</v>
      </c>
      <c r="CE50" s="280" t="s">
        <v>79</v>
      </c>
      <c r="CF50" s="280" t="s">
        <v>80</v>
      </c>
      <c r="CM50" s="280" t="s">
        <v>78</v>
      </c>
      <c r="CN50" s="280" t="s">
        <v>79</v>
      </c>
      <c r="CO50" s="280" t="s">
        <v>80</v>
      </c>
      <c r="CU50" s="280" t="s">
        <v>78</v>
      </c>
      <c r="CV50" s="280" t="s">
        <v>79</v>
      </c>
      <c r="CW50" s="280" t="s">
        <v>80</v>
      </c>
    </row>
    <row r="51" spans="2:101" x14ac:dyDescent="0.25">
      <c r="B51" s="281"/>
      <c r="C51" s="281"/>
      <c r="D51" s="281"/>
      <c r="E51" s="282" t="s">
        <v>81</v>
      </c>
      <c r="F51" s="283">
        <f>SUM(F41:F45)</f>
        <v>1.6127966865627407E-5</v>
      </c>
      <c r="G51" s="284">
        <f>SUM(G41:G45)</f>
        <v>1.6127966865627411E-2</v>
      </c>
      <c r="H51" s="285">
        <f>SUM(H41:H45)</f>
        <v>1.6127966865627408E-4</v>
      </c>
      <c r="J51" s="281"/>
      <c r="K51" s="281"/>
      <c r="L51" s="281"/>
      <c r="M51" s="282" t="s">
        <v>81</v>
      </c>
      <c r="N51" s="286">
        <f>SUM(N41:N45)</f>
        <v>3.4195676124135975E-5</v>
      </c>
      <c r="O51" s="287">
        <f>SUM(O41:O45)</f>
        <v>3.4195676124135981E-2</v>
      </c>
      <c r="P51" s="288">
        <f>SUM(P41:P45)</f>
        <v>3.4195676124135969E-4</v>
      </c>
      <c r="S51" s="281"/>
      <c r="T51" s="281"/>
      <c r="U51" s="281"/>
      <c r="V51" s="282" t="s">
        <v>81</v>
      </c>
      <c r="W51" s="283">
        <f>SUM(W41:W45)</f>
        <v>1.7689889194336417E-5</v>
      </c>
      <c r="X51" s="284">
        <f>SUM(X41:X45)</f>
        <v>1.7689889194336419E-2</v>
      </c>
      <c r="Y51" s="285">
        <f>SUM(Y41:Y45)</f>
        <v>1.7689889194336421E-4</v>
      </c>
      <c r="AA51" s="281"/>
      <c r="AB51" s="281"/>
      <c r="AC51" s="281"/>
      <c r="AD51" s="282" t="s">
        <v>81</v>
      </c>
      <c r="AE51" s="286">
        <f>SUM(AE41:AE45)</f>
        <v>3.300992028415509E-5</v>
      </c>
      <c r="AF51" s="287">
        <f>SUM(AF41:AF45)</f>
        <v>3.3009920284155087E-2</v>
      </c>
      <c r="AG51" s="288">
        <f>SUM(AG41:AG45)</f>
        <v>3.3009920284155094E-4</v>
      </c>
      <c r="AJ51" s="281"/>
      <c r="AK51" s="281"/>
      <c r="AL51" s="281"/>
      <c r="AM51" s="282" t="s">
        <v>81</v>
      </c>
      <c r="AN51" s="283">
        <f>SUM(AN41:AN45)</f>
        <v>8.4196816844799718E-5</v>
      </c>
      <c r="AO51" s="284">
        <f>SUM(AO41:AO45)</f>
        <v>8.419681684479971E-2</v>
      </c>
      <c r="AP51" s="285">
        <f>SUM(AP41:AP45)</f>
        <v>8.4196816844799721E-4</v>
      </c>
      <c r="AR51" s="281"/>
      <c r="AS51" s="281"/>
      <c r="AT51" s="281"/>
      <c r="AU51" s="282" t="s">
        <v>81</v>
      </c>
      <c r="AV51" s="286">
        <f>SUM(AV41:AV45)</f>
        <v>4.3695611622930817E-5</v>
      </c>
      <c r="AW51" s="287">
        <f>SUM(AW41:AW45)</f>
        <v>4.3695611622930806E-2</v>
      </c>
      <c r="AX51" s="288">
        <f>SUM(AX41:AX45)</f>
        <v>4.3695611622930814E-4</v>
      </c>
      <c r="BA51" s="281"/>
      <c r="BB51" s="281"/>
      <c r="BC51" s="281"/>
      <c r="BD51" s="282" t="s">
        <v>81</v>
      </c>
      <c r="BE51" s="283">
        <f>SUM(BE41:BE45)</f>
        <v>5.1284106526383369E-5</v>
      </c>
      <c r="BF51" s="284">
        <f>SUM(BF41:BF45)</f>
        <v>5.1284106526383377E-2</v>
      </c>
      <c r="BG51" s="285">
        <f>SUM(BG41:BG45)</f>
        <v>5.1284106526383372E-4</v>
      </c>
      <c r="BI51" s="281"/>
      <c r="BJ51" s="281"/>
      <c r="BK51" s="281"/>
      <c r="BL51" s="282" t="s">
        <v>81</v>
      </c>
      <c r="BM51" s="286">
        <f>SUM(BM41:BM45)</f>
        <v>1.1028916438720316E-3</v>
      </c>
      <c r="BN51" s="287">
        <f>SUM(BN41:BN45)</f>
        <v>1.1028916438720318</v>
      </c>
      <c r="BO51" s="288">
        <f>SUM(BO41:BO45)</f>
        <v>1.1028916438720317E-2</v>
      </c>
      <c r="BR51" s="281"/>
      <c r="BS51" s="281"/>
      <c r="BT51" s="281"/>
      <c r="BU51" s="282" t="s">
        <v>81</v>
      </c>
      <c r="BV51" s="283">
        <f>SUM(BV41:BV45)</f>
        <v>9.0540719004892722E-4</v>
      </c>
      <c r="BW51" s="284">
        <f>SUM(BW41:BW45)</f>
        <v>0.90540719004892734</v>
      </c>
      <c r="BX51" s="285">
        <f>SUM(BX41:BX45)</f>
        <v>9.0540719004892738E-3</v>
      </c>
      <c r="BZ51" s="281"/>
      <c r="CA51" s="281"/>
      <c r="CB51" s="281"/>
      <c r="CC51" s="282" t="s">
        <v>81</v>
      </c>
      <c r="CD51" s="286">
        <f>SUM(CD41:CD45)</f>
        <v>6.7502124193419136E-4</v>
      </c>
      <c r="CE51" s="287">
        <f>SUM(CE41:CE45)</f>
        <v>0.67502124193419133</v>
      </c>
      <c r="CF51" s="288">
        <f>SUM(CF41:CF45)</f>
        <v>6.7502124193419138E-3</v>
      </c>
      <c r="CI51" s="281"/>
      <c r="CJ51" s="281"/>
      <c r="CK51" s="281"/>
      <c r="CL51" s="282" t="s">
        <v>81</v>
      </c>
      <c r="CM51" s="283">
        <f>SUM(CM41:CM45)</f>
        <v>4.9837890997444571E-5</v>
      </c>
      <c r="CN51" s="284">
        <f>SUM(CN41:CN45)</f>
        <v>4.9837890997444567E-2</v>
      </c>
      <c r="CO51" s="285">
        <f>SUM(CO41:CO45)</f>
        <v>4.9837890997444568E-4</v>
      </c>
      <c r="CQ51" s="281"/>
      <c r="CR51" s="281"/>
      <c r="CS51" s="281"/>
      <c r="CT51" s="282" t="s">
        <v>81</v>
      </c>
      <c r="CU51" s="286">
        <f>SUM(CU41:CU45)</f>
        <v>9.4290660561752643E-5</v>
      </c>
      <c r="CV51" s="287">
        <f>SUM(CV41:CV45)</f>
        <v>9.4290660561752643E-2</v>
      </c>
      <c r="CW51" s="288">
        <f>SUM(CW41:CW45)</f>
        <v>9.4290660561752637E-4</v>
      </c>
    </row>
    <row r="52" spans="2:101" ht="15.75" thickBot="1" x14ac:dyDescent="0.3">
      <c r="B52" s="247"/>
      <c r="C52" s="247"/>
      <c r="D52" s="247"/>
      <c r="E52" s="289" t="s">
        <v>82</v>
      </c>
      <c r="F52" s="290">
        <f>SUM(F41:F47)</f>
        <v>1.6130065659412995E-5</v>
      </c>
      <c r="G52" s="291">
        <f>SUM(G41:G47)</f>
        <v>1.6130065659413002E-2</v>
      </c>
      <c r="H52" s="292">
        <f>SUM(H41:H47)</f>
        <v>1.6130065659413E-4</v>
      </c>
      <c r="J52" s="247"/>
      <c r="K52" s="247"/>
      <c r="L52" s="247"/>
      <c r="M52" s="289" t="s">
        <v>82</v>
      </c>
      <c r="N52" s="293">
        <f>SUM(N41:N47)</f>
        <v>3.4200193540724196E-5</v>
      </c>
      <c r="O52" s="294">
        <f>SUM(O41:O47)</f>
        <v>3.4200193540724198E-2</v>
      </c>
      <c r="P52" s="295">
        <f>SUM(P41:P47)</f>
        <v>3.4200193540724188E-4</v>
      </c>
      <c r="S52" s="247"/>
      <c r="T52" s="247"/>
      <c r="U52" s="247"/>
      <c r="V52" s="289" t="s">
        <v>82</v>
      </c>
      <c r="W52" s="290">
        <f>SUM(W41:W47)</f>
        <v>1.7690928035950654E-5</v>
      </c>
      <c r="X52" s="291">
        <f>SUM(X41:X47)</f>
        <v>1.7690928035950654E-2</v>
      </c>
      <c r="Y52" s="292">
        <f>SUM(Y41:Y47)</f>
        <v>1.7690928035950655E-4</v>
      </c>
      <c r="AA52" s="247"/>
      <c r="AB52" s="247"/>
      <c r="AC52" s="247"/>
      <c r="AD52" s="289" t="s">
        <v>82</v>
      </c>
      <c r="AE52" s="293">
        <f>SUM(AE41:AE47)</f>
        <v>3.3017058738834644E-5</v>
      </c>
      <c r="AF52" s="294">
        <f>SUM(AF41:AF47)</f>
        <v>3.3017058738834641E-2</v>
      </c>
      <c r="AG52" s="295">
        <f>SUM(AG41:AG47)</f>
        <v>3.3017058738834653E-4</v>
      </c>
      <c r="AJ52" s="247"/>
      <c r="AK52" s="247"/>
      <c r="AL52" s="247"/>
      <c r="AM52" s="289" t="s">
        <v>82</v>
      </c>
      <c r="AN52" s="290">
        <f>SUM(AN41:AN47)</f>
        <v>8.4211790000140348E-5</v>
      </c>
      <c r="AO52" s="291">
        <f>SUM(AO41:AO47)</f>
        <v>8.4211790000140341E-2</v>
      </c>
      <c r="AP52" s="292">
        <f>SUM(AP41:AP47)</f>
        <v>8.4211790000140356E-4</v>
      </c>
      <c r="AR52" s="247"/>
      <c r="AS52" s="247"/>
      <c r="AT52" s="247"/>
      <c r="AU52" s="289" t="s">
        <v>82</v>
      </c>
      <c r="AV52" s="293">
        <f>SUM(AV41:AV47)</f>
        <v>4.370789508152115E-5</v>
      </c>
      <c r="AW52" s="294">
        <f>SUM(AW41:AW47)</f>
        <v>4.3707895081521141E-2</v>
      </c>
      <c r="AX52" s="295">
        <f>SUM(AX41:AX47)</f>
        <v>4.3707895081521148E-4</v>
      </c>
      <c r="BA52" s="247"/>
      <c r="BB52" s="247"/>
      <c r="BC52" s="247"/>
      <c r="BD52" s="289" t="s">
        <v>82</v>
      </c>
      <c r="BE52" s="290">
        <f>SUM(BE41:BE47)</f>
        <v>5.1290378141630149E-5</v>
      </c>
      <c r="BF52" s="291">
        <f>SUM(BF41:BF47)</f>
        <v>5.1290378141630157E-2</v>
      </c>
      <c r="BG52" s="292">
        <f>SUM(BG41:BG47)</f>
        <v>5.1290378141630156E-4</v>
      </c>
      <c r="BI52" s="247"/>
      <c r="BJ52" s="247"/>
      <c r="BK52" s="247"/>
      <c r="BL52" s="289" t="s">
        <v>82</v>
      </c>
      <c r="BM52" s="293">
        <f>SUM(BM41:BM47)</f>
        <v>1.1032884317502857E-3</v>
      </c>
      <c r="BN52" s="294">
        <f>SUM(BN41:BN47)</f>
        <v>1.103288431750286</v>
      </c>
      <c r="BO52" s="295">
        <f>SUM(BO41:BO47)</f>
        <v>1.1032884317502859E-2</v>
      </c>
      <c r="BR52" s="247"/>
      <c r="BS52" s="247"/>
      <c r="BT52" s="247"/>
      <c r="BU52" s="289" t="s">
        <v>82</v>
      </c>
      <c r="BV52" s="290">
        <f>SUM(BV41:BV47)</f>
        <v>9.0577078764985698E-4</v>
      </c>
      <c r="BW52" s="291">
        <f>SUM(BW41:BW47)</f>
        <v>0.90577078764985719</v>
      </c>
      <c r="BX52" s="292">
        <f>SUM(BX41:BX47)</f>
        <v>9.0577078764985716E-3</v>
      </c>
      <c r="BZ52" s="247"/>
      <c r="CA52" s="247"/>
      <c r="CB52" s="247"/>
      <c r="CC52" s="289" t="s">
        <v>82</v>
      </c>
      <c r="CD52" s="293">
        <f>SUM(CD41:CD47)</f>
        <v>6.7512047850045787E-4</v>
      </c>
      <c r="CE52" s="294">
        <f>SUM(CE41:CE47)</f>
        <v>0.67512047850045787</v>
      </c>
      <c r="CF52" s="295">
        <f>SUM(CF41:CF47)</f>
        <v>6.7512047850045789E-3</v>
      </c>
      <c r="CI52" s="247"/>
      <c r="CJ52" s="247"/>
      <c r="CK52" s="247"/>
      <c r="CL52" s="289" t="s">
        <v>82</v>
      </c>
      <c r="CM52" s="290">
        <f>SUM(CM41:CM47)</f>
        <v>4.9853341029138379E-5</v>
      </c>
      <c r="CN52" s="291">
        <f>SUM(CN41:CN47)</f>
        <v>4.9853341029138375E-2</v>
      </c>
      <c r="CO52" s="292">
        <f>SUM(CO41:CO47)</f>
        <v>4.9853341029138377E-4</v>
      </c>
      <c r="CQ52" s="247"/>
      <c r="CR52" s="247"/>
      <c r="CS52" s="247"/>
      <c r="CT52" s="289" t="s">
        <v>82</v>
      </c>
      <c r="CU52" s="293">
        <f>SUM(CU41:CU47)</f>
        <v>9.4292697783301908E-5</v>
      </c>
      <c r="CV52" s="294">
        <f>SUM(CV41:CV47)</f>
        <v>9.4292697783301904E-2</v>
      </c>
      <c r="CW52" s="295">
        <f>SUM(CW41:CW47)</f>
        <v>9.4292697783301906E-4</v>
      </c>
    </row>
    <row r="53" spans="2:101" x14ac:dyDescent="0.25">
      <c r="B53" s="296" t="s">
        <v>83</v>
      </c>
      <c r="J53" s="296" t="s">
        <v>83</v>
      </c>
      <c r="S53" s="296" t="s">
        <v>83</v>
      </c>
      <c r="AA53" s="296" t="s">
        <v>83</v>
      </c>
      <c r="AJ53" s="296" t="s">
        <v>83</v>
      </c>
      <c r="AR53" s="296" t="s">
        <v>83</v>
      </c>
      <c r="BA53" s="296" t="s">
        <v>83</v>
      </c>
      <c r="BI53" s="296" t="s">
        <v>83</v>
      </c>
      <c r="BR53" s="296" t="s">
        <v>83</v>
      </c>
      <c r="BZ53" s="296" t="s">
        <v>83</v>
      </c>
      <c r="CI53" s="296" t="s">
        <v>83</v>
      </c>
      <c r="CQ53" s="296" t="s">
        <v>83</v>
      </c>
    </row>
  </sheetData>
  <mergeCells count="48">
    <mergeCell ref="BE49:BG49"/>
    <mergeCell ref="BM49:BO49"/>
    <mergeCell ref="BV49:BX49"/>
    <mergeCell ref="CD49:CF49"/>
    <mergeCell ref="CM49:CO49"/>
    <mergeCell ref="CU49:CW49"/>
    <mergeCell ref="F49:H49"/>
    <mergeCell ref="N49:P49"/>
    <mergeCell ref="W49:Y49"/>
    <mergeCell ref="AE49:AG49"/>
    <mergeCell ref="AN49:AP49"/>
    <mergeCell ref="AV49:AX49"/>
    <mergeCell ref="B37:P37"/>
    <mergeCell ref="S37:AG37"/>
    <mergeCell ref="AJ37:AX37"/>
    <mergeCell ref="BA37:BO37"/>
    <mergeCell ref="BR37:CF37"/>
    <mergeCell ref="CI37:CW37"/>
    <mergeCell ref="B26:P26"/>
    <mergeCell ref="S26:AG26"/>
    <mergeCell ref="AJ26:AX26"/>
    <mergeCell ref="BA26:BO26"/>
    <mergeCell ref="BR26:CF26"/>
    <mergeCell ref="CI26:CW26"/>
    <mergeCell ref="B15:P15"/>
    <mergeCell ref="S15:AG15"/>
    <mergeCell ref="AJ15:AX15"/>
    <mergeCell ref="BA15:BO15"/>
    <mergeCell ref="BR15:CF15"/>
    <mergeCell ref="CI15:CW15"/>
    <mergeCell ref="B5:P5"/>
    <mergeCell ref="S5:AG5"/>
    <mergeCell ref="AJ5:AX5"/>
    <mergeCell ref="BA5:BO5"/>
    <mergeCell ref="BR5:CF5"/>
    <mergeCell ref="CI5:CW5"/>
    <mergeCell ref="BB2:BF2"/>
    <mergeCell ref="BJ2:BN2"/>
    <mergeCell ref="BS2:BW2"/>
    <mergeCell ref="CA2:CE2"/>
    <mergeCell ref="CJ2:CN2"/>
    <mergeCell ref="CR2:CV2"/>
    <mergeCell ref="C2:G2"/>
    <mergeCell ref="K2:O2"/>
    <mergeCell ref="T2:X2"/>
    <mergeCell ref="AB2:AF2"/>
    <mergeCell ref="AK2:AO2"/>
    <mergeCell ref="AS2:A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Tissue Mass</vt:lpstr>
      <vt:lpstr>Raw Gamma CPM</vt:lpstr>
      <vt:lpstr>Decay Corrected %ID</vt:lpstr>
      <vt:lpstr>%ID per g (Decay Corrected )</vt:lpstr>
      <vt:lpstr>uCi per g Tissue</vt:lpstr>
      <vt:lpstr>Standards</vt:lpstr>
      <vt:lpstr>MIRD Tissue Dosimetry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Schaal</dc:creator>
  <cp:lastModifiedBy>Jeff Schaal</cp:lastModifiedBy>
  <dcterms:created xsi:type="dcterms:W3CDTF">2016-10-10T14:59:35Z</dcterms:created>
  <dcterms:modified xsi:type="dcterms:W3CDTF">2022-07-12T01:12:00Z</dcterms:modified>
</cp:coreProperties>
</file>